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tal" sheetId="1" r:id="rId4"/>
    <sheet state="visible" name="ASI_Fem" sheetId="2" r:id="rId5"/>
    <sheet state="visible" name="ASI_Masc" sheetId="3" r:id="rId6"/>
    <sheet state="visible" name="ASI_Ambos" sheetId="4" r:id="rId7"/>
  </sheets>
  <definedNames>
    <definedName hidden="1" localSheetId="3" name="_xlnm._FilterDatabase">ASI_Ambos!$F$1:$F$28</definedName>
  </definedNames>
  <calcPr/>
  <extLst>
    <ext uri="GoogleSheetsCustomDataVersion2">
      <go:sheetsCustomData xmlns:go="http://customooxmlschemas.google.com/" r:id="rId8" roundtripDataChecksum="D8/2gfnuOLfqojHqV+ZkBURCoZypjoVfKLBBH+HufQs="/>
    </ext>
  </extLst>
</workbook>
</file>

<file path=xl/sharedStrings.xml><?xml version="1.0" encoding="utf-8"?>
<sst xmlns="http://schemas.openxmlformats.org/spreadsheetml/2006/main" count="1432" uniqueCount="134">
  <si>
    <t>Autor (Año)</t>
  </si>
  <si>
    <t>N </t>
  </si>
  <si>
    <t>Nº hombres</t>
  </si>
  <si>
    <t>Nº mujeres</t>
  </si>
  <si>
    <t>Edad Media</t>
  </si>
  <si>
    <t>Zona</t>
  </si>
  <si>
    <t>País</t>
  </si>
  <si>
    <t>Perpetrador Conocido (%)</t>
  </si>
  <si>
    <t>Perpetrador Familiar</t>
  </si>
  <si>
    <t>Perpetrador Extraño</t>
  </si>
  <si>
    <t>Perpetrador iguales</t>
  </si>
  <si>
    <t>Sexo Perpretador</t>
  </si>
  <si>
    <t>Porcentaje perpetrador hombre</t>
  </si>
  <si>
    <t>Porcentaje perpretador mujer</t>
  </si>
  <si>
    <t>Sexo de la víctima</t>
  </si>
  <si>
    <t>Año de recolección de datos</t>
  </si>
  <si>
    <t>Tipo de prevalencia </t>
  </si>
  <si>
    <t>Ratio de respuesta</t>
  </si>
  <si>
    <t>Tipo de muestra </t>
  </si>
  <si>
    <t>Método de recolección de datos</t>
  </si>
  <si>
    <t>Número de ítems del cuestionario ASI</t>
  </si>
  <si>
    <t>Tipo de Cuestionario</t>
  </si>
  <si>
    <t>ASI contacto</t>
  </si>
  <si>
    <t>ASI no contacto</t>
  </si>
  <si>
    <t>ASI mixto</t>
  </si>
  <si>
    <t>ASI intercourse</t>
  </si>
  <si>
    <t>Ajdukovic et al. (2013a)</t>
  </si>
  <si>
    <t>Europa</t>
  </si>
  <si>
    <t>Croacia</t>
  </si>
  <si>
    <t>Femenino</t>
  </si>
  <si>
    <t>Masculino</t>
  </si>
  <si>
    <t>Toda la vida</t>
  </si>
  <si>
    <t>Escuela</t>
  </si>
  <si>
    <t>Autoinforme</t>
  </si>
  <si>
    <t>Estandarizado</t>
  </si>
  <si>
    <t>Ambos</t>
  </si>
  <si>
    <t>Ajdukovic et al. (2013b)</t>
  </si>
  <si>
    <t>Momento específico</t>
  </si>
  <si>
    <t>Bentivegna et al. (2019)</t>
  </si>
  <si>
    <t>América del Norte</t>
  </si>
  <si>
    <t>EEUU</t>
  </si>
  <si>
    <t>2011-2014</t>
  </si>
  <si>
    <t>Específica</t>
  </si>
  <si>
    <t>Entrevistador</t>
  </si>
  <si>
    <t>Chang et al. (2013)</t>
  </si>
  <si>
    <t>Asia</t>
  </si>
  <si>
    <t>China</t>
  </si>
  <si>
    <t>2009-2012</t>
  </si>
  <si>
    <t>Estandarizado </t>
  </si>
  <si>
    <t>2009-2015</t>
  </si>
  <si>
    <t>Chang et al. (2013a)</t>
  </si>
  <si>
    <t>2009-2011</t>
  </si>
  <si>
    <t>2009-2010</t>
  </si>
  <si>
    <t>Chang et al. (2013b)</t>
  </si>
  <si>
    <t>2009-2014</t>
  </si>
  <si>
    <t>2009-2013</t>
  </si>
  <si>
    <t>Escalante-Barrios et al. (2020a)</t>
  </si>
  <si>
    <t>América del Sur</t>
  </si>
  <si>
    <t>Colombia</t>
  </si>
  <si>
    <t>2018-2018</t>
  </si>
  <si>
    <t>Propio</t>
  </si>
  <si>
    <t>Escalante-Barrios et al. (2020b)</t>
  </si>
  <si>
    <t>2018-2019</t>
  </si>
  <si>
    <t>Euser el at. (2013)</t>
  </si>
  <si>
    <t>Alemania</t>
  </si>
  <si>
    <t>García-Montoliu et al. (2023)</t>
  </si>
  <si>
    <t>España</t>
  </si>
  <si>
    <t>Jaite et al. (2010a)</t>
  </si>
  <si>
    <t>Jaite et al. (2010b)</t>
  </si>
  <si>
    <t>Jaite et al. (2010c)</t>
  </si>
  <si>
    <t>Korkman et al. (2019)</t>
  </si>
  <si>
    <t>Finlandia</t>
  </si>
  <si>
    <t>Lahtinen et al. (2018)</t>
  </si>
  <si>
    <t>Lin et al. (2011)</t>
  </si>
  <si>
    <t>Lin et al. (2011b)</t>
  </si>
  <si>
    <t>Mansbach-Kleinfeld et al. (2015)</t>
  </si>
  <si>
    <t>Israel</t>
  </si>
  <si>
    <t>2004-2006</t>
  </si>
  <si>
    <t>Población general</t>
  </si>
  <si>
    <t>2004-2005</t>
  </si>
  <si>
    <t>Mohler-Kuo et al. (2014a)</t>
  </si>
  <si>
    <t>Suiza</t>
  </si>
  <si>
    <t>Mohler-Kuo et al. (2014b)</t>
  </si>
  <si>
    <t>Morais et al. (2016)</t>
  </si>
  <si>
    <t>Newcomb et al. (2009)</t>
  </si>
  <si>
    <t>Owusu-Addo et al. (2023)</t>
  </si>
  <si>
    <t>África</t>
  </si>
  <si>
    <t>Ghana</t>
  </si>
  <si>
    <t>Pereda et al., (2016)</t>
  </si>
  <si>
    <t>Pereda et al., (2024)</t>
  </si>
  <si>
    <t>2022-2023</t>
  </si>
  <si>
    <t>Perera y Obstbye (2009)</t>
  </si>
  <si>
    <t>Sri Lanka</t>
  </si>
  <si>
    <t>Pichler et al. (2020)</t>
  </si>
  <si>
    <t>Australia</t>
  </si>
  <si>
    <t>Rathinam et al. (2020)</t>
  </si>
  <si>
    <t>India</t>
  </si>
  <si>
    <t>Rong et al. (2022)</t>
  </si>
  <si>
    <t>2016-2019</t>
  </si>
  <si>
    <t>2016-2018</t>
  </si>
  <si>
    <t>2016-2017</t>
  </si>
  <si>
    <t>Usta y Favert (2010a)</t>
  </si>
  <si>
    <t>Libano</t>
  </si>
  <si>
    <t>Usta y Favert (2010b)</t>
  </si>
  <si>
    <t>Valdez-Santiago et al. (2011)</t>
  </si>
  <si>
    <t>México</t>
  </si>
  <si>
    <t>Valh et al. (2016)</t>
  </si>
  <si>
    <t>Belgica</t>
  </si>
  <si>
    <t>2005-2007</t>
  </si>
  <si>
    <t>Toda a vida</t>
  </si>
  <si>
    <t>2008-2011</t>
  </si>
  <si>
    <t>Van der Kooji et al. (2018a)</t>
  </si>
  <si>
    <t>Suriname</t>
  </si>
  <si>
    <t>2013-2014</t>
  </si>
  <si>
    <t>Van der Kooji et al. (2018b)</t>
  </si>
  <si>
    <t>2013-2016</t>
  </si>
  <si>
    <t>2013-2015</t>
  </si>
  <si>
    <t>Yan et al. (2018a)</t>
  </si>
  <si>
    <t>Yan et al. (2018b)</t>
  </si>
  <si>
    <t>Yearwood et al. (2021)</t>
  </si>
  <si>
    <t>Perú</t>
  </si>
  <si>
    <t>Zhang et al. (2021)</t>
  </si>
  <si>
    <t>2014-2017</t>
  </si>
  <si>
    <t>2014-2016</t>
  </si>
  <si>
    <t>2014-2015</t>
  </si>
  <si>
    <t>Zhao et al. (2011)</t>
  </si>
  <si>
    <t>2005-2011</t>
  </si>
  <si>
    <t>2005-2010</t>
  </si>
  <si>
    <t>2005-2009</t>
  </si>
  <si>
    <t>xiC</t>
  </si>
  <si>
    <t>xiS</t>
  </si>
  <si>
    <t>xiM</t>
  </si>
  <si>
    <t>xiI</t>
  </si>
  <si>
    <t>Estándar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</si>
</sst>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2.0"/>
      <color theme="1"/>
      <name val="Calibri"/>
      <scheme val="minor"/>
    </font>
    <font>
      <b/>
      <sz val="12.0"/>
      <color theme="1"/>
      <name val="Calibri"/>
    </font>
    <font>
      <color theme="1"/>
      <name val="Calibri"/>
      <scheme val="minor"/>
    </font>
    <font>
      <sz val="12.0"/>
      <color theme="1"/>
      <name val="Calibri"/>
    </font>
    <font>
      <b/>
      <sz val="12.0"/>
      <color rgb="FF000000"/>
      <name val="Calibri"/>
    </font>
    <font>
      <sz val="12.0"/>
      <color rgb="FF000000"/>
      <name val="Calibri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wrapText="1"/>
    </xf>
    <xf borderId="0" fillId="0" fontId="2" numFmtId="0" xfId="0" applyFont="1"/>
    <xf borderId="0" fillId="0" fontId="3" numFmtId="9" xfId="0" applyFont="1" applyNumberFormat="1"/>
    <xf borderId="0" fillId="0" fontId="4" numFmtId="0" xfId="0" applyAlignment="1" applyFont="1">
      <alignment shrinkToFit="0" wrapText="1"/>
    </xf>
    <xf borderId="0" fillId="0" fontId="5" numFmtId="0" xfId="0" applyFont="1"/>
    <xf borderId="0" fillId="0" fontId="5" numFmtId="1" xfId="0" applyFont="1" applyNumberFormat="1"/>
    <xf borderId="0" fillId="0" fontId="5" numFmtId="9" xfId="0" applyFont="1" applyNumberFormat="1"/>
    <xf borderId="0" fillId="0" fontId="3" numFmtId="1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1.22" defaultRowHeight="15.0"/>
  <cols>
    <col customWidth="1" min="1" max="7" width="19.33"/>
    <col customWidth="1" min="8" max="15" width="10.56"/>
    <col customWidth="1" min="16" max="17" width="19.33"/>
    <col customWidth="1" min="18" max="18" width="10.56"/>
    <col customWidth="1" min="19" max="19" width="21.22"/>
    <col customWidth="1" min="20" max="21" width="10.56"/>
    <col customWidth="1" min="22" max="22" width="12.78"/>
    <col customWidth="1" min="23" max="26" width="10.56"/>
  </cols>
  <sheetData>
    <row r="1" ht="15.7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</row>
    <row r="2" ht="15.75" customHeight="1">
      <c r="A2" s="2" t="s">
        <v>26</v>
      </c>
      <c r="B2" s="2">
        <v>1552.0</v>
      </c>
      <c r="C2" s="2">
        <v>1552.0</v>
      </c>
      <c r="D2" s="2">
        <v>0.0</v>
      </c>
      <c r="E2" s="2">
        <v>13.41</v>
      </c>
      <c r="F2" s="2" t="s">
        <v>27</v>
      </c>
      <c r="G2" s="2" t="s">
        <v>28</v>
      </c>
      <c r="H2" s="2">
        <v>59.28</v>
      </c>
      <c r="I2" s="2">
        <v>7.15</v>
      </c>
      <c r="J2" s="2">
        <v>31.3</v>
      </c>
      <c r="L2" s="2" t="s">
        <v>29</v>
      </c>
      <c r="M2" s="2">
        <v>29.6</v>
      </c>
      <c r="N2" s="2">
        <v>57.02</v>
      </c>
      <c r="O2" s="2" t="s">
        <v>30</v>
      </c>
      <c r="P2" s="2">
        <v>2011.0</v>
      </c>
      <c r="Q2" s="2" t="s">
        <v>31</v>
      </c>
      <c r="R2" s="2">
        <v>0.87</v>
      </c>
      <c r="S2" s="2" t="s">
        <v>32</v>
      </c>
      <c r="T2" s="2" t="s">
        <v>33</v>
      </c>
      <c r="U2" s="2">
        <v>52.0</v>
      </c>
      <c r="V2" s="2" t="s">
        <v>34</v>
      </c>
      <c r="W2" s="2">
        <f>4.1/100</f>
        <v>0.041</v>
      </c>
      <c r="X2" s="2">
        <f>6.6/100</f>
        <v>0.066</v>
      </c>
      <c r="Y2" s="2">
        <f>8.6/100</f>
        <v>0.086</v>
      </c>
    </row>
    <row r="3" ht="15.75" customHeight="1">
      <c r="A3" s="2" t="s">
        <v>26</v>
      </c>
      <c r="B3" s="2">
        <v>1623.0</v>
      </c>
      <c r="C3" s="2">
        <v>0.0</v>
      </c>
      <c r="D3" s="2">
        <v>1623.0</v>
      </c>
      <c r="E3" s="2">
        <v>13.41</v>
      </c>
      <c r="F3" s="2" t="s">
        <v>27</v>
      </c>
      <c r="G3" s="2" t="s">
        <v>28</v>
      </c>
      <c r="H3" s="2">
        <v>59.28</v>
      </c>
      <c r="I3" s="2">
        <v>7.15</v>
      </c>
      <c r="J3" s="2">
        <v>31.3</v>
      </c>
      <c r="L3" s="2" t="s">
        <v>30</v>
      </c>
      <c r="M3" s="2">
        <v>45.6</v>
      </c>
      <c r="N3" s="2">
        <v>3.64</v>
      </c>
      <c r="O3" s="2" t="s">
        <v>29</v>
      </c>
      <c r="P3" s="2">
        <v>2011.0</v>
      </c>
      <c r="Q3" s="2" t="s">
        <v>31</v>
      </c>
      <c r="R3" s="2">
        <v>0.87</v>
      </c>
      <c r="S3" s="2" t="s">
        <v>32</v>
      </c>
      <c r="T3" s="2" t="s">
        <v>33</v>
      </c>
      <c r="U3" s="2">
        <v>52.0</v>
      </c>
      <c r="V3" s="2" t="s">
        <v>34</v>
      </c>
      <c r="W3" s="2">
        <f>5.3/10</f>
        <v>0.53</v>
      </c>
      <c r="X3" s="2">
        <f>10.8/100</f>
        <v>0.108</v>
      </c>
      <c r="Y3" s="2">
        <f>13/100</f>
        <v>0.13</v>
      </c>
    </row>
    <row r="4" ht="15.75" customHeight="1">
      <c r="A4" s="2" t="s">
        <v>26</v>
      </c>
      <c r="B4" s="2">
        <v>3175.0</v>
      </c>
      <c r="C4" s="2">
        <v>1552.0</v>
      </c>
      <c r="D4" s="2">
        <v>1623.0</v>
      </c>
      <c r="E4" s="2">
        <v>13.41</v>
      </c>
      <c r="F4" s="2" t="s">
        <v>27</v>
      </c>
      <c r="G4" s="2" t="s">
        <v>28</v>
      </c>
      <c r="H4" s="2">
        <v>59.28</v>
      </c>
      <c r="I4" s="2">
        <v>7.15</v>
      </c>
      <c r="J4" s="2">
        <v>31.3</v>
      </c>
      <c r="L4" s="2"/>
      <c r="M4" s="2">
        <v>37.57</v>
      </c>
      <c r="N4" s="2">
        <v>30.33</v>
      </c>
      <c r="O4" s="2" t="s">
        <v>35</v>
      </c>
      <c r="P4" s="2">
        <v>2011.0</v>
      </c>
      <c r="Q4" s="2" t="s">
        <v>31</v>
      </c>
      <c r="R4" s="2">
        <v>0.87</v>
      </c>
      <c r="S4" s="2" t="s">
        <v>32</v>
      </c>
      <c r="T4" s="2" t="s">
        <v>33</v>
      </c>
      <c r="U4" s="2">
        <v>52.0</v>
      </c>
      <c r="V4" s="2" t="s">
        <v>34</v>
      </c>
      <c r="W4" s="2">
        <f>4.7/100</f>
        <v>0.047</v>
      </c>
      <c r="X4" s="2">
        <f>8.8/100</f>
        <v>0.088</v>
      </c>
      <c r="Y4" s="2">
        <f>10.8/100</f>
        <v>0.108</v>
      </c>
    </row>
    <row r="5" ht="15.75" customHeight="1">
      <c r="A5" s="2" t="s">
        <v>36</v>
      </c>
      <c r="B5" s="2">
        <v>1552.0</v>
      </c>
      <c r="C5" s="2">
        <v>1552.0</v>
      </c>
      <c r="D5" s="2">
        <v>0.0</v>
      </c>
      <c r="E5" s="2">
        <v>13.41</v>
      </c>
      <c r="F5" s="2" t="s">
        <v>27</v>
      </c>
      <c r="G5" s="2" t="s">
        <v>28</v>
      </c>
      <c r="H5" s="2">
        <v>74.64</v>
      </c>
      <c r="I5" s="2">
        <v>7.26</v>
      </c>
      <c r="J5" s="2">
        <v>15.01</v>
      </c>
      <c r="L5" s="2" t="s">
        <v>29</v>
      </c>
      <c r="M5" s="2">
        <v>29.6</v>
      </c>
      <c r="N5" s="2">
        <v>57.02</v>
      </c>
      <c r="O5" s="2" t="s">
        <v>30</v>
      </c>
      <c r="P5" s="2">
        <v>2011.0</v>
      </c>
      <c r="Q5" s="2" t="s">
        <v>37</v>
      </c>
      <c r="R5" s="2">
        <v>0.87</v>
      </c>
      <c r="S5" s="2" t="s">
        <v>32</v>
      </c>
      <c r="T5" s="2" t="s">
        <v>33</v>
      </c>
      <c r="U5" s="2">
        <v>52.0</v>
      </c>
      <c r="V5" s="2" t="s">
        <v>34</v>
      </c>
      <c r="W5" s="2">
        <f>3.3/100</f>
        <v>0.033</v>
      </c>
      <c r="X5" s="2">
        <f>5.1/100</f>
        <v>0.051</v>
      </c>
      <c r="Y5" s="2">
        <f>6.7/100</f>
        <v>0.067</v>
      </c>
    </row>
    <row r="6" ht="15.75" customHeight="1">
      <c r="A6" s="2" t="s">
        <v>36</v>
      </c>
      <c r="B6" s="2">
        <v>1623.0</v>
      </c>
      <c r="C6" s="2">
        <v>0.0</v>
      </c>
      <c r="D6" s="2">
        <v>1623.0</v>
      </c>
      <c r="E6" s="2">
        <v>13.41</v>
      </c>
      <c r="F6" s="2" t="s">
        <v>27</v>
      </c>
      <c r="G6" s="2" t="s">
        <v>28</v>
      </c>
      <c r="H6" s="2">
        <v>74.64</v>
      </c>
      <c r="I6" s="2">
        <v>7.26</v>
      </c>
      <c r="J6" s="2">
        <v>15.01</v>
      </c>
      <c r="L6" s="2" t="s">
        <v>30</v>
      </c>
      <c r="M6" s="2">
        <v>45.6</v>
      </c>
      <c r="N6" s="2">
        <v>3.64</v>
      </c>
      <c r="O6" s="2" t="s">
        <v>29</v>
      </c>
      <c r="P6" s="2">
        <v>2011.0</v>
      </c>
      <c r="Q6" s="2" t="s">
        <v>37</v>
      </c>
      <c r="R6" s="2">
        <v>0.87</v>
      </c>
      <c r="S6" s="2" t="s">
        <v>32</v>
      </c>
      <c r="T6" s="2" t="s">
        <v>33</v>
      </c>
      <c r="U6" s="2">
        <v>52.0</v>
      </c>
      <c r="V6" s="2" t="s">
        <v>34</v>
      </c>
      <c r="W6" s="2">
        <f>3.5/100</f>
        <v>0.035</v>
      </c>
      <c r="X6" s="2">
        <f>7.3/100</f>
        <v>0.073</v>
      </c>
      <c r="Y6" s="2">
        <f>8.7/100</f>
        <v>0.087</v>
      </c>
    </row>
    <row r="7" ht="15.75" customHeight="1">
      <c r="A7" s="2" t="s">
        <v>36</v>
      </c>
      <c r="B7" s="2">
        <v>3175.0</v>
      </c>
      <c r="C7" s="2">
        <v>1552.0</v>
      </c>
      <c r="D7" s="2">
        <v>1623.0</v>
      </c>
      <c r="E7" s="2">
        <v>13.41</v>
      </c>
      <c r="F7" s="2" t="s">
        <v>27</v>
      </c>
      <c r="G7" s="2" t="s">
        <v>28</v>
      </c>
      <c r="H7" s="2">
        <v>74.64</v>
      </c>
      <c r="I7" s="2">
        <v>7.26</v>
      </c>
      <c r="J7" s="2">
        <v>15.01</v>
      </c>
      <c r="L7" s="2"/>
      <c r="M7" s="2">
        <v>37.57</v>
      </c>
      <c r="N7" s="2">
        <v>30.33</v>
      </c>
      <c r="O7" s="2" t="s">
        <v>35</v>
      </c>
      <c r="P7" s="2">
        <v>2011.0</v>
      </c>
      <c r="Q7" s="2" t="s">
        <v>37</v>
      </c>
      <c r="R7" s="2">
        <v>0.87</v>
      </c>
      <c r="S7" s="2" t="s">
        <v>32</v>
      </c>
      <c r="T7" s="2" t="s">
        <v>33</v>
      </c>
      <c r="U7" s="2">
        <v>52.0</v>
      </c>
      <c r="V7" s="2" t="s">
        <v>34</v>
      </c>
      <c r="W7" s="2">
        <f>3.4/100</f>
        <v>0.034</v>
      </c>
      <c r="X7" s="2">
        <f>6.3/100</f>
        <v>0.063</v>
      </c>
      <c r="Y7" s="2">
        <f>7.7/100</f>
        <v>0.077</v>
      </c>
    </row>
    <row r="8" ht="15.75" customHeight="1">
      <c r="A8" s="2" t="s">
        <v>38</v>
      </c>
      <c r="B8" s="2">
        <v>110.0</v>
      </c>
      <c r="C8" s="2">
        <v>86.0</v>
      </c>
      <c r="D8" s="2">
        <v>24.0</v>
      </c>
      <c r="F8" s="2" t="s">
        <v>39</v>
      </c>
      <c r="G8" s="2" t="s">
        <v>40</v>
      </c>
      <c r="L8" s="2"/>
      <c r="O8" s="2" t="s">
        <v>35</v>
      </c>
      <c r="P8" s="2" t="s">
        <v>41</v>
      </c>
      <c r="Q8" s="2" t="s">
        <v>37</v>
      </c>
      <c r="R8" s="2">
        <v>1.0</v>
      </c>
      <c r="S8" s="2" t="s">
        <v>42</v>
      </c>
      <c r="T8" s="2" t="s">
        <v>43</v>
      </c>
      <c r="V8" s="2"/>
      <c r="W8" s="2">
        <f>1.7/100</f>
        <v>0.017</v>
      </c>
    </row>
    <row r="9" ht="15.75" customHeight="1">
      <c r="A9" s="2" t="s">
        <v>44</v>
      </c>
      <c r="B9" s="2">
        <v>9773.0</v>
      </c>
      <c r="C9" s="2">
        <v>9773.0</v>
      </c>
      <c r="D9" s="2">
        <v>0.0</v>
      </c>
      <c r="E9" s="2">
        <v>15.85</v>
      </c>
      <c r="F9" s="2" t="s">
        <v>45</v>
      </c>
      <c r="G9" s="2" t="s">
        <v>46</v>
      </c>
      <c r="L9" s="2"/>
      <c r="O9" s="2" t="s">
        <v>30</v>
      </c>
      <c r="P9" s="2" t="s">
        <v>47</v>
      </c>
      <c r="Q9" s="2" t="s">
        <v>31</v>
      </c>
      <c r="R9" s="2">
        <v>0.96</v>
      </c>
      <c r="S9" s="2" t="s">
        <v>32</v>
      </c>
      <c r="T9" s="2" t="s">
        <v>33</v>
      </c>
      <c r="U9" s="2">
        <v>12.0</v>
      </c>
      <c r="V9" s="2" t="s">
        <v>48</v>
      </c>
      <c r="X9" s="2">
        <f>3.1/100</f>
        <v>0.031</v>
      </c>
      <c r="Y9" s="2">
        <f>9/100</f>
        <v>0.09</v>
      </c>
      <c r="Z9" s="2">
        <f>2.5/100</f>
        <v>0.025</v>
      </c>
    </row>
    <row r="10" ht="15.75" customHeight="1">
      <c r="A10" s="2" t="s">
        <v>44</v>
      </c>
      <c r="B10" s="2">
        <v>9773.0</v>
      </c>
      <c r="C10" s="2">
        <v>9773.0</v>
      </c>
      <c r="D10" s="2">
        <v>0.0</v>
      </c>
      <c r="E10" s="2">
        <v>15.85</v>
      </c>
      <c r="F10" s="2" t="s">
        <v>45</v>
      </c>
      <c r="G10" s="2" t="s">
        <v>46</v>
      </c>
      <c r="L10" s="2"/>
      <c r="O10" s="2" t="s">
        <v>30</v>
      </c>
      <c r="P10" s="2" t="s">
        <v>49</v>
      </c>
      <c r="Q10" s="2" t="s">
        <v>37</v>
      </c>
      <c r="R10" s="2">
        <v>0.96</v>
      </c>
      <c r="S10" s="2" t="s">
        <v>32</v>
      </c>
      <c r="T10" s="2" t="s">
        <v>33</v>
      </c>
      <c r="U10" s="2">
        <v>12.0</v>
      </c>
      <c r="V10" s="2" t="s">
        <v>48</v>
      </c>
      <c r="X10" s="2">
        <f>2.5/100</f>
        <v>0.025</v>
      </c>
      <c r="Y10" s="2">
        <f>7.3/100</f>
        <v>0.073</v>
      </c>
      <c r="Z10" s="2">
        <f t="shared" ref="Z10:Z11" si="1">1.9/100</f>
        <v>0.019</v>
      </c>
    </row>
    <row r="11" ht="15.75" customHeight="1">
      <c r="A11" s="2" t="s">
        <v>50</v>
      </c>
      <c r="B11" s="2">
        <v>8568.0</v>
      </c>
      <c r="C11" s="2">
        <v>0.0</v>
      </c>
      <c r="D11" s="2">
        <v>8568.0</v>
      </c>
      <c r="E11" s="2">
        <v>15.87</v>
      </c>
      <c r="F11" s="2" t="s">
        <v>45</v>
      </c>
      <c r="G11" s="2" t="s">
        <v>46</v>
      </c>
      <c r="L11" s="2"/>
      <c r="O11" s="2" t="s">
        <v>29</v>
      </c>
      <c r="P11" s="2" t="s">
        <v>51</v>
      </c>
      <c r="Q11" s="2" t="s">
        <v>31</v>
      </c>
      <c r="R11" s="2">
        <v>0.96</v>
      </c>
      <c r="S11" s="2" t="s">
        <v>32</v>
      </c>
      <c r="T11" s="2" t="s">
        <v>33</v>
      </c>
      <c r="U11" s="2">
        <v>12.0</v>
      </c>
      <c r="V11" s="2" t="s">
        <v>48</v>
      </c>
      <c r="X11" s="2">
        <f>1.8/100</f>
        <v>0.018</v>
      </c>
      <c r="Y11" s="2">
        <f>6.4/100</f>
        <v>0.064</v>
      </c>
      <c r="Z11" s="2">
        <f t="shared" si="1"/>
        <v>0.019</v>
      </c>
    </row>
    <row r="12" ht="15.75" customHeight="1">
      <c r="A12" s="2" t="s">
        <v>50</v>
      </c>
      <c r="B12" s="2">
        <v>18341.0</v>
      </c>
      <c r="C12" s="2">
        <v>9773.0</v>
      </c>
      <c r="D12" s="2">
        <v>8568.0</v>
      </c>
      <c r="E12" s="2">
        <v>15.86</v>
      </c>
      <c r="F12" s="2" t="s">
        <v>45</v>
      </c>
      <c r="G12" s="2" t="s">
        <v>46</v>
      </c>
      <c r="L12" s="2"/>
      <c r="O12" s="2" t="s">
        <v>35</v>
      </c>
      <c r="P12" s="2" t="s">
        <v>52</v>
      </c>
      <c r="Q12" s="2" t="s">
        <v>31</v>
      </c>
      <c r="R12" s="2">
        <v>0.96</v>
      </c>
      <c r="S12" s="2" t="s">
        <v>32</v>
      </c>
      <c r="T12" s="2" t="s">
        <v>33</v>
      </c>
      <c r="U12" s="2">
        <v>12.0</v>
      </c>
      <c r="V12" s="2" t="s">
        <v>34</v>
      </c>
      <c r="X12" s="2">
        <f>2.5/100</f>
        <v>0.025</v>
      </c>
      <c r="Y12" s="2">
        <f>7.8/100</f>
        <v>0.078</v>
      </c>
      <c r="Z12" s="2">
        <f>2.2/100</f>
        <v>0.022</v>
      </c>
    </row>
    <row r="13" ht="15.75" customHeight="1">
      <c r="A13" s="2" t="s">
        <v>53</v>
      </c>
      <c r="B13" s="2">
        <v>8568.0</v>
      </c>
      <c r="C13" s="2">
        <v>0.0</v>
      </c>
      <c r="D13" s="2">
        <v>8568.0</v>
      </c>
      <c r="E13" s="2">
        <v>15.87</v>
      </c>
      <c r="F13" s="2" t="s">
        <v>45</v>
      </c>
      <c r="G13" s="2" t="s">
        <v>46</v>
      </c>
      <c r="L13" s="2"/>
      <c r="O13" s="2" t="s">
        <v>29</v>
      </c>
      <c r="P13" s="2" t="s">
        <v>54</v>
      </c>
      <c r="Q13" s="2" t="s">
        <v>37</v>
      </c>
      <c r="R13" s="2">
        <v>0.96</v>
      </c>
      <c r="S13" s="2" t="s">
        <v>32</v>
      </c>
      <c r="T13" s="2" t="s">
        <v>33</v>
      </c>
      <c r="U13" s="2">
        <v>12.0</v>
      </c>
      <c r="V13" s="2" t="s">
        <v>34</v>
      </c>
      <c r="X13" s="2">
        <f>1.4/100</f>
        <v>0.014</v>
      </c>
      <c r="Y13" s="2">
        <f>4.6/100</f>
        <v>0.046</v>
      </c>
      <c r="Z13" s="2">
        <f>1.6/100</f>
        <v>0.016</v>
      </c>
    </row>
    <row r="14" ht="15.75" customHeight="1">
      <c r="A14" s="2" t="s">
        <v>53</v>
      </c>
      <c r="B14" s="2">
        <v>18341.0</v>
      </c>
      <c r="C14" s="2">
        <v>9773.0</v>
      </c>
      <c r="D14" s="2">
        <v>8568.0</v>
      </c>
      <c r="E14" s="2">
        <v>15.86</v>
      </c>
      <c r="F14" s="2" t="s">
        <v>45</v>
      </c>
      <c r="G14" s="2" t="s">
        <v>46</v>
      </c>
      <c r="L14" s="2"/>
      <c r="O14" s="2" t="s">
        <v>35</v>
      </c>
      <c r="P14" s="2" t="s">
        <v>55</v>
      </c>
      <c r="Q14" s="2" t="s">
        <v>37</v>
      </c>
      <c r="R14" s="2">
        <v>0.96</v>
      </c>
      <c r="S14" s="2" t="s">
        <v>32</v>
      </c>
      <c r="T14" s="2" t="s">
        <v>33</v>
      </c>
      <c r="U14" s="2">
        <v>12.0</v>
      </c>
      <c r="V14" s="2" t="s">
        <v>34</v>
      </c>
      <c r="X14" s="2">
        <f>2/100</f>
        <v>0.02</v>
      </c>
      <c r="Y14" s="2">
        <f>6/100</f>
        <v>0.06</v>
      </c>
      <c r="Z14" s="2">
        <f>1.8/100</f>
        <v>0.018</v>
      </c>
    </row>
    <row r="15" ht="15.75" customHeight="1">
      <c r="A15" s="2" t="s">
        <v>56</v>
      </c>
      <c r="B15" s="2">
        <v>680.0</v>
      </c>
      <c r="C15" s="2">
        <v>680.0</v>
      </c>
      <c r="D15" s="2">
        <v>0.0</v>
      </c>
      <c r="E15" s="2">
        <v>8.66</v>
      </c>
      <c r="F15" s="2" t="s">
        <v>57</v>
      </c>
      <c r="G15" s="2" t="s">
        <v>58</v>
      </c>
      <c r="H15" s="2">
        <v>45.8</v>
      </c>
      <c r="I15" s="2">
        <v>55.4</v>
      </c>
      <c r="L15" s="2" t="s">
        <v>30</v>
      </c>
      <c r="O15" s="2" t="s">
        <v>30</v>
      </c>
      <c r="P15" s="2" t="s">
        <v>59</v>
      </c>
      <c r="Q15" s="2"/>
      <c r="R15" s="2">
        <v>0.95</v>
      </c>
      <c r="S15" s="2" t="s">
        <v>42</v>
      </c>
      <c r="T15" s="2" t="s">
        <v>43</v>
      </c>
      <c r="V15" s="2" t="s">
        <v>60</v>
      </c>
      <c r="W15" s="2">
        <f>41.2/100</f>
        <v>0.412</v>
      </c>
      <c r="Y15" s="2">
        <f>35.1/100</f>
        <v>0.351</v>
      </c>
      <c r="Z15" s="2">
        <f>47.1/100</f>
        <v>0.471</v>
      </c>
    </row>
    <row r="16" ht="15.75" customHeight="1">
      <c r="A16" s="2" t="s">
        <v>61</v>
      </c>
      <c r="B16" s="2">
        <v>680.0</v>
      </c>
      <c r="C16" s="2">
        <v>680.0</v>
      </c>
      <c r="D16" s="2">
        <v>0.0</v>
      </c>
      <c r="E16" s="2">
        <v>8.66</v>
      </c>
      <c r="F16" s="2" t="s">
        <v>57</v>
      </c>
      <c r="G16" s="2" t="s">
        <v>58</v>
      </c>
      <c r="H16" s="2">
        <v>35.7</v>
      </c>
      <c r="L16" s="2" t="s">
        <v>30</v>
      </c>
      <c r="O16" s="2" t="s">
        <v>30</v>
      </c>
      <c r="P16" s="2" t="s">
        <v>62</v>
      </c>
      <c r="Q16" s="2"/>
      <c r="R16" s="2">
        <v>0.95</v>
      </c>
      <c r="S16" s="2" t="s">
        <v>42</v>
      </c>
      <c r="T16" s="2" t="s">
        <v>43</v>
      </c>
      <c r="V16" s="2" t="s">
        <v>60</v>
      </c>
      <c r="W16" s="2">
        <f>4.9/100</f>
        <v>0.049</v>
      </c>
      <c r="Y16" s="2">
        <f>8.7/100</f>
        <v>0.087</v>
      </c>
      <c r="Z16" s="2">
        <f>14.6/100</f>
        <v>0.146</v>
      </c>
    </row>
    <row r="17" ht="15.75" customHeight="1">
      <c r="A17" s="2" t="s">
        <v>63</v>
      </c>
      <c r="B17" s="2">
        <v>341.0</v>
      </c>
      <c r="C17" s="2">
        <v>191.0</v>
      </c>
      <c r="D17" s="2">
        <v>150.0</v>
      </c>
      <c r="E17" s="2">
        <v>15.67</v>
      </c>
      <c r="F17" s="2" t="s">
        <v>27</v>
      </c>
      <c r="G17" s="2" t="s">
        <v>64</v>
      </c>
      <c r="H17" s="2">
        <v>86.0</v>
      </c>
      <c r="I17" s="2">
        <v>27.0</v>
      </c>
      <c r="K17" s="2">
        <v>13.8</v>
      </c>
      <c r="L17" s="2"/>
      <c r="O17" s="2" t="s">
        <v>29</v>
      </c>
      <c r="P17" s="2">
        <v>2010.0</v>
      </c>
      <c r="Q17" s="2" t="s">
        <v>37</v>
      </c>
      <c r="R17" s="2">
        <v>0.96</v>
      </c>
      <c r="S17" s="2" t="s">
        <v>42</v>
      </c>
      <c r="T17" s="2" t="s">
        <v>43</v>
      </c>
      <c r="U17" s="2">
        <v>24.0</v>
      </c>
      <c r="V17" s="2" t="s">
        <v>60</v>
      </c>
      <c r="W17" s="2">
        <f>3.1/100</f>
        <v>0.031</v>
      </c>
      <c r="X17" s="2">
        <f>0.5/100</f>
        <v>0.005</v>
      </c>
      <c r="Y17" s="2">
        <f>0.2/100</f>
        <v>0.002</v>
      </c>
    </row>
    <row r="18" ht="15.75" customHeight="1">
      <c r="A18" s="2" t="s">
        <v>65</v>
      </c>
      <c r="B18" s="2">
        <v>22.0</v>
      </c>
      <c r="C18" s="2">
        <v>22.0</v>
      </c>
      <c r="D18" s="2">
        <v>0.0</v>
      </c>
      <c r="E18" s="2">
        <v>16.32</v>
      </c>
      <c r="F18" s="2" t="s">
        <v>27</v>
      </c>
      <c r="G18" s="2" t="s">
        <v>66</v>
      </c>
      <c r="J18" s="2">
        <v>66.9</v>
      </c>
      <c r="K18" s="2">
        <v>33.1</v>
      </c>
      <c r="L18" s="2" t="s">
        <v>30</v>
      </c>
      <c r="M18" s="3">
        <v>1.0</v>
      </c>
      <c r="O18" s="2" t="s">
        <v>30</v>
      </c>
      <c r="Q18" s="2" t="s">
        <v>37</v>
      </c>
      <c r="R18" s="2">
        <v>0.71</v>
      </c>
      <c r="S18" s="2" t="s">
        <v>42</v>
      </c>
      <c r="T18" s="2" t="s">
        <v>43</v>
      </c>
      <c r="U18" s="2">
        <v>17.0</v>
      </c>
      <c r="V18" s="2" t="s">
        <v>34</v>
      </c>
      <c r="Y18" s="2">
        <f>13.6/100</f>
        <v>0.136</v>
      </c>
    </row>
    <row r="19" ht="15.75" customHeight="1">
      <c r="A19" s="2" t="s">
        <v>65</v>
      </c>
      <c r="B19" s="2">
        <v>8.0</v>
      </c>
      <c r="C19" s="2">
        <v>0.0</v>
      </c>
      <c r="D19" s="2">
        <v>8.0</v>
      </c>
      <c r="E19" s="2">
        <v>16.38</v>
      </c>
      <c r="F19" s="2" t="s">
        <v>27</v>
      </c>
      <c r="G19" s="2" t="s">
        <v>66</v>
      </c>
      <c r="H19" s="2">
        <v>66.7</v>
      </c>
      <c r="J19" s="2">
        <v>33.3</v>
      </c>
      <c r="L19" s="2" t="s">
        <v>30</v>
      </c>
      <c r="M19" s="3">
        <v>1.0</v>
      </c>
      <c r="O19" s="2" t="s">
        <v>29</v>
      </c>
      <c r="Q19" s="2" t="s">
        <v>37</v>
      </c>
      <c r="R19" s="2">
        <v>0.71</v>
      </c>
      <c r="S19" s="2" t="s">
        <v>42</v>
      </c>
      <c r="T19" s="2" t="s">
        <v>43</v>
      </c>
      <c r="U19" s="2">
        <v>17.0</v>
      </c>
      <c r="V19" s="2" t="s">
        <v>34</v>
      </c>
      <c r="Y19" s="2">
        <f>37.5/100</f>
        <v>0.375</v>
      </c>
    </row>
    <row r="20" ht="15.75" customHeight="1">
      <c r="A20" s="2" t="s">
        <v>65</v>
      </c>
      <c r="B20" s="2">
        <v>30.0</v>
      </c>
      <c r="C20" s="2">
        <v>22.0</v>
      </c>
      <c r="D20" s="2">
        <v>8.0</v>
      </c>
      <c r="E20" s="2">
        <v>16.33</v>
      </c>
      <c r="F20" s="2" t="s">
        <v>27</v>
      </c>
      <c r="G20" s="2" t="s">
        <v>66</v>
      </c>
      <c r="L20" s="2" t="s">
        <v>30</v>
      </c>
      <c r="M20" s="3">
        <v>1.0</v>
      </c>
      <c r="O20" s="2" t="s">
        <v>35</v>
      </c>
      <c r="Q20" s="2" t="s">
        <v>37</v>
      </c>
      <c r="R20" s="2">
        <v>0.71</v>
      </c>
      <c r="S20" s="2" t="s">
        <v>42</v>
      </c>
      <c r="T20" s="2" t="s">
        <v>43</v>
      </c>
      <c r="U20" s="2">
        <v>17.0</v>
      </c>
      <c r="V20" s="2" t="s">
        <v>34</v>
      </c>
      <c r="Y20" s="2">
        <f>22/100</f>
        <v>0.22</v>
      </c>
    </row>
    <row r="21" ht="15.75" customHeight="1">
      <c r="A21" s="2" t="s">
        <v>67</v>
      </c>
      <c r="B21" s="2">
        <v>50.0</v>
      </c>
      <c r="C21" s="2">
        <v>0.0</v>
      </c>
      <c r="D21" s="2">
        <v>50.0</v>
      </c>
      <c r="E21" s="2">
        <v>15.8</v>
      </c>
      <c r="F21" s="2" t="s">
        <v>27</v>
      </c>
      <c r="G21" s="2" t="s">
        <v>64</v>
      </c>
      <c r="L21" s="2"/>
      <c r="O21" s="2" t="s">
        <v>29</v>
      </c>
      <c r="Q21" s="2" t="s">
        <v>31</v>
      </c>
      <c r="S21" s="2" t="s">
        <v>42</v>
      </c>
      <c r="T21" s="2" t="s">
        <v>33</v>
      </c>
      <c r="U21" s="2">
        <v>5.0</v>
      </c>
      <c r="V21" s="2" t="s">
        <v>34</v>
      </c>
      <c r="Y21" s="2">
        <f>8/100</f>
        <v>0.08</v>
      </c>
    </row>
    <row r="22" ht="15.75" customHeight="1">
      <c r="A22" s="2" t="s">
        <v>68</v>
      </c>
      <c r="B22" s="2">
        <v>27.0</v>
      </c>
      <c r="C22" s="2">
        <v>0.0</v>
      </c>
      <c r="D22" s="2">
        <v>27.0</v>
      </c>
      <c r="E22" s="2">
        <v>16.1</v>
      </c>
      <c r="F22" s="2" t="s">
        <v>27</v>
      </c>
      <c r="G22" s="2" t="s">
        <v>64</v>
      </c>
      <c r="L22" s="2"/>
      <c r="O22" s="2" t="s">
        <v>29</v>
      </c>
      <c r="Q22" s="2" t="s">
        <v>31</v>
      </c>
      <c r="S22" s="2" t="s">
        <v>42</v>
      </c>
      <c r="T22" s="2" t="s">
        <v>33</v>
      </c>
      <c r="U22" s="2">
        <v>5.0</v>
      </c>
      <c r="V22" s="2" t="s">
        <v>34</v>
      </c>
      <c r="Y22" s="2">
        <f>26/100</f>
        <v>0.26</v>
      </c>
    </row>
    <row r="23" ht="15.75" customHeight="1">
      <c r="A23" s="2" t="s">
        <v>69</v>
      </c>
      <c r="B23" s="2">
        <v>44.0</v>
      </c>
      <c r="C23" s="2">
        <v>0.0</v>
      </c>
      <c r="D23" s="2">
        <v>44.0</v>
      </c>
      <c r="E23" s="2">
        <v>15.7</v>
      </c>
      <c r="F23" s="2" t="s">
        <v>27</v>
      </c>
      <c r="G23" s="2" t="s">
        <v>64</v>
      </c>
      <c r="L23" s="2"/>
      <c r="O23" s="2" t="s">
        <v>29</v>
      </c>
      <c r="Q23" s="2" t="s">
        <v>31</v>
      </c>
      <c r="S23" s="2" t="s">
        <v>42</v>
      </c>
      <c r="T23" s="2" t="s">
        <v>33</v>
      </c>
      <c r="U23" s="2">
        <v>5.0</v>
      </c>
      <c r="V23" s="2" t="s">
        <v>34</v>
      </c>
      <c r="Y23" s="2">
        <f>2/100</f>
        <v>0.02</v>
      </c>
    </row>
    <row r="24" ht="15.75" customHeight="1">
      <c r="A24" s="2" t="s">
        <v>70</v>
      </c>
      <c r="B24" s="2">
        <v>11364.0</v>
      </c>
      <c r="C24" s="2">
        <v>5682.0</v>
      </c>
      <c r="D24" s="2">
        <v>5682.0</v>
      </c>
      <c r="F24" s="2" t="s">
        <v>27</v>
      </c>
      <c r="G24" s="2" t="s">
        <v>71</v>
      </c>
      <c r="L24" s="2"/>
      <c r="O24" s="2" t="s">
        <v>35</v>
      </c>
      <c r="P24" s="2">
        <v>2013.0</v>
      </c>
      <c r="Q24" s="2"/>
      <c r="R24" s="2">
        <v>0.75</v>
      </c>
      <c r="S24" s="2" t="s">
        <v>32</v>
      </c>
      <c r="T24" s="2" t="s">
        <v>33</v>
      </c>
      <c r="V24" s="2" t="s">
        <v>60</v>
      </c>
      <c r="Y24" s="2">
        <f t="shared" ref="Y24:Y25" si="2">2.4/100</f>
        <v>0.024</v>
      </c>
    </row>
    <row r="25" ht="15.75" customHeight="1">
      <c r="A25" s="2" t="s">
        <v>72</v>
      </c>
      <c r="B25" s="2">
        <v>11354.0</v>
      </c>
      <c r="C25" s="2">
        <v>5677.0</v>
      </c>
      <c r="D25" s="2">
        <v>5677.0</v>
      </c>
      <c r="E25" s="2">
        <v>14.0</v>
      </c>
      <c r="F25" s="2" t="s">
        <v>27</v>
      </c>
      <c r="G25" s="2" t="s">
        <v>71</v>
      </c>
      <c r="H25" s="2">
        <v>16.0</v>
      </c>
      <c r="J25" s="2">
        <v>35.0</v>
      </c>
      <c r="K25" s="2">
        <v>22.0</v>
      </c>
      <c r="L25" s="2"/>
      <c r="O25" s="2" t="s">
        <v>35</v>
      </c>
      <c r="P25" s="2">
        <v>2013.0</v>
      </c>
      <c r="Q25" s="2"/>
      <c r="R25" s="2">
        <v>0.75</v>
      </c>
      <c r="S25" s="2" t="s">
        <v>32</v>
      </c>
      <c r="T25" s="2" t="s">
        <v>33</v>
      </c>
      <c r="V25" s="2" t="s">
        <v>34</v>
      </c>
      <c r="Y25" s="2">
        <f t="shared" si="2"/>
        <v>0.024</v>
      </c>
    </row>
    <row r="26" ht="15.75" customHeight="1">
      <c r="A26" s="2" t="s">
        <v>73</v>
      </c>
      <c r="B26" s="2">
        <v>326.0</v>
      </c>
      <c r="C26" s="2">
        <v>326.0</v>
      </c>
      <c r="D26" s="2">
        <v>0.0</v>
      </c>
      <c r="E26" s="2">
        <v>13.02</v>
      </c>
      <c r="F26" s="2" t="s">
        <v>45</v>
      </c>
      <c r="G26" s="2" t="s">
        <v>46</v>
      </c>
      <c r="L26" s="2"/>
      <c r="O26" s="2" t="s">
        <v>30</v>
      </c>
      <c r="P26" s="2">
        <v>2009.0</v>
      </c>
      <c r="Q26" s="2" t="s">
        <v>31</v>
      </c>
      <c r="R26" s="2">
        <v>0.47</v>
      </c>
      <c r="S26" s="2" t="s">
        <v>32</v>
      </c>
      <c r="T26" s="2" t="s">
        <v>33</v>
      </c>
      <c r="U26" s="2">
        <v>12.0</v>
      </c>
      <c r="V26" s="2" t="s">
        <v>34</v>
      </c>
      <c r="W26" s="2">
        <f>15/100</f>
        <v>0.15</v>
      </c>
      <c r="X26" s="2">
        <f>19.7/100</f>
        <v>0.197</v>
      </c>
      <c r="Y26" s="2">
        <f>21.5/100</f>
        <v>0.215</v>
      </c>
    </row>
    <row r="27" ht="15.75" customHeight="1">
      <c r="A27" s="2" t="s">
        <v>73</v>
      </c>
      <c r="B27" s="2">
        <v>683.0</v>
      </c>
      <c r="C27" s="2">
        <v>326.0</v>
      </c>
      <c r="D27" s="2">
        <v>346.0</v>
      </c>
      <c r="E27" s="2">
        <v>12.87</v>
      </c>
      <c r="F27" s="2" t="s">
        <v>45</v>
      </c>
      <c r="G27" s="2" t="s">
        <v>46</v>
      </c>
      <c r="L27" s="2"/>
      <c r="O27" s="2" t="s">
        <v>35</v>
      </c>
      <c r="P27" s="2">
        <v>2009.0</v>
      </c>
      <c r="Q27" s="2" t="s">
        <v>31</v>
      </c>
      <c r="R27" s="2">
        <v>0.98</v>
      </c>
      <c r="S27" s="2" t="s">
        <v>32</v>
      </c>
      <c r="T27" s="2" t="s">
        <v>33</v>
      </c>
      <c r="U27" s="2">
        <v>12.0</v>
      </c>
      <c r="V27" s="2" t="s">
        <v>34</v>
      </c>
      <c r="W27" s="2">
        <f>12.2/100</f>
        <v>0.122</v>
      </c>
      <c r="X27" s="2">
        <f>16.3/100</f>
        <v>0.163</v>
      </c>
      <c r="Y27" s="2">
        <f>18/100</f>
        <v>0.18</v>
      </c>
    </row>
    <row r="28" ht="15.75" customHeight="1">
      <c r="A28" s="2" t="s">
        <v>74</v>
      </c>
      <c r="B28" s="2">
        <v>346.0</v>
      </c>
      <c r="C28" s="2">
        <v>0.0</v>
      </c>
      <c r="D28" s="2">
        <v>346.0</v>
      </c>
      <c r="E28" s="2">
        <v>12.73</v>
      </c>
      <c r="F28" s="2" t="s">
        <v>45</v>
      </c>
      <c r="G28" s="2" t="s">
        <v>46</v>
      </c>
      <c r="L28" s="2"/>
      <c r="O28" s="2" t="s">
        <v>29</v>
      </c>
      <c r="P28" s="2">
        <v>2009.0</v>
      </c>
      <c r="Q28" s="2" t="s">
        <v>31</v>
      </c>
      <c r="R28" s="2">
        <v>0.49</v>
      </c>
      <c r="S28" s="2" t="s">
        <v>32</v>
      </c>
      <c r="T28" s="2" t="s">
        <v>33</v>
      </c>
      <c r="U28" s="2">
        <v>12.0</v>
      </c>
      <c r="V28" s="2" t="s">
        <v>34</v>
      </c>
      <c r="W28" s="2">
        <f>9.2/100</f>
        <v>0.092</v>
      </c>
      <c r="X28" s="2">
        <f>12.6/100</f>
        <v>0.126</v>
      </c>
      <c r="Y28" s="2">
        <f>14.2/100</f>
        <v>0.142</v>
      </c>
    </row>
    <row r="29" ht="15.75" customHeight="1">
      <c r="A29" s="2" t="s">
        <v>75</v>
      </c>
      <c r="B29" s="2">
        <v>463.0</v>
      </c>
      <c r="C29" s="2">
        <v>463.0</v>
      </c>
      <c r="D29" s="2">
        <v>0.0</v>
      </c>
      <c r="F29" s="2" t="s">
        <v>45</v>
      </c>
      <c r="G29" s="2" t="s">
        <v>76</v>
      </c>
      <c r="L29" s="2"/>
      <c r="O29" s="2" t="s">
        <v>30</v>
      </c>
      <c r="P29" s="2" t="s">
        <v>77</v>
      </c>
      <c r="Q29" s="2" t="s">
        <v>37</v>
      </c>
      <c r="R29" s="2">
        <v>0.68</v>
      </c>
      <c r="S29" s="2" t="s">
        <v>78</v>
      </c>
      <c r="T29" s="2" t="s">
        <v>43</v>
      </c>
      <c r="V29" s="2"/>
      <c r="Y29" s="2">
        <f>1.2/100</f>
        <v>0.012</v>
      </c>
    </row>
    <row r="30" ht="15.75" customHeight="1">
      <c r="A30" s="2" t="s">
        <v>75</v>
      </c>
      <c r="B30" s="2">
        <v>443.0</v>
      </c>
      <c r="C30" s="2">
        <v>0.0</v>
      </c>
      <c r="D30" s="2">
        <v>443.0</v>
      </c>
      <c r="F30" s="2" t="s">
        <v>45</v>
      </c>
      <c r="G30" s="2" t="s">
        <v>76</v>
      </c>
      <c r="L30" s="2"/>
      <c r="O30" s="2" t="s">
        <v>29</v>
      </c>
      <c r="P30" s="2" t="s">
        <v>79</v>
      </c>
      <c r="Q30" s="2" t="s">
        <v>37</v>
      </c>
      <c r="R30" s="2">
        <v>0.68</v>
      </c>
      <c r="S30" s="2" t="s">
        <v>78</v>
      </c>
      <c r="T30" s="2" t="s">
        <v>43</v>
      </c>
      <c r="V30" s="2"/>
      <c r="Y30" s="2">
        <f>5.4/100</f>
        <v>0.054</v>
      </c>
    </row>
    <row r="31" ht="15.75" customHeight="1">
      <c r="A31" s="2" t="s">
        <v>75</v>
      </c>
      <c r="B31" s="2">
        <v>906.0</v>
      </c>
      <c r="C31" s="2">
        <v>463.0</v>
      </c>
      <c r="D31" s="2">
        <v>443.0</v>
      </c>
      <c r="F31" s="2" t="s">
        <v>45</v>
      </c>
      <c r="G31" s="2" t="s">
        <v>76</v>
      </c>
      <c r="L31" s="2"/>
      <c r="O31" s="2" t="s">
        <v>35</v>
      </c>
      <c r="P31" s="2" t="s">
        <v>79</v>
      </c>
      <c r="Q31" s="2" t="s">
        <v>37</v>
      </c>
      <c r="R31" s="2">
        <v>0.6</v>
      </c>
      <c r="S31" s="2" t="s">
        <v>78</v>
      </c>
      <c r="T31" s="2" t="s">
        <v>43</v>
      </c>
      <c r="V31" s="2"/>
      <c r="Y31" s="2">
        <f>3.3/100</f>
        <v>0.033</v>
      </c>
    </row>
    <row r="32" ht="15.75" customHeight="1">
      <c r="A32" s="2" t="s">
        <v>80</v>
      </c>
      <c r="B32" s="2">
        <v>3551.0</v>
      </c>
      <c r="C32" s="2">
        <v>3551.0</v>
      </c>
      <c r="D32" s="2">
        <v>0.0</v>
      </c>
      <c r="E32" s="2">
        <v>15.5</v>
      </c>
      <c r="F32" s="2" t="s">
        <v>27</v>
      </c>
      <c r="G32" s="2" t="s">
        <v>81</v>
      </c>
      <c r="H32" s="2">
        <v>36.96</v>
      </c>
      <c r="I32" s="2">
        <v>2.16</v>
      </c>
      <c r="J32" s="2">
        <v>40.3</v>
      </c>
      <c r="K32" s="2">
        <v>35.91</v>
      </c>
      <c r="L32" s="2" t="s">
        <v>29</v>
      </c>
      <c r="M32" s="2">
        <v>40.25</v>
      </c>
      <c r="N32" s="2">
        <v>71.75</v>
      </c>
      <c r="O32" s="2" t="s">
        <v>30</v>
      </c>
      <c r="P32" s="2" t="s">
        <v>52</v>
      </c>
      <c r="Q32" s="2" t="s">
        <v>31</v>
      </c>
      <c r="R32" s="2">
        <v>0.9</v>
      </c>
      <c r="S32" s="2" t="s">
        <v>32</v>
      </c>
      <c r="T32" s="2" t="s">
        <v>33</v>
      </c>
      <c r="U32" s="2">
        <v>15.0</v>
      </c>
      <c r="V32" s="2" t="s">
        <v>60</v>
      </c>
      <c r="W32" s="2">
        <f>4.8/100</f>
        <v>0.048</v>
      </c>
      <c r="X32" s="2">
        <f>14.9/100</f>
        <v>0.149</v>
      </c>
      <c r="Z32" s="2">
        <f>0.6/100</f>
        <v>0.006</v>
      </c>
    </row>
    <row r="33" ht="15.75" customHeight="1">
      <c r="A33" s="2" t="s">
        <v>80</v>
      </c>
      <c r="B33" s="2">
        <v>3236.0</v>
      </c>
      <c r="C33" s="2">
        <v>0.0</v>
      </c>
      <c r="D33" s="2">
        <v>3236.0</v>
      </c>
      <c r="E33" s="2">
        <v>15.5</v>
      </c>
      <c r="F33" s="2" t="s">
        <v>27</v>
      </c>
      <c r="G33" s="2" t="s">
        <v>81</v>
      </c>
      <c r="H33" s="2">
        <v>36.64</v>
      </c>
      <c r="I33" s="2">
        <v>4.31</v>
      </c>
      <c r="J33" s="2">
        <v>54.66</v>
      </c>
      <c r="K33" s="2">
        <v>20.4</v>
      </c>
      <c r="L33" s="2" t="s">
        <v>30</v>
      </c>
      <c r="M33" s="2">
        <v>97.0</v>
      </c>
      <c r="N33" s="2">
        <v>8.6</v>
      </c>
      <c r="O33" s="2" t="s">
        <v>29</v>
      </c>
      <c r="P33" s="2" t="s">
        <v>52</v>
      </c>
      <c r="Q33" s="2" t="s">
        <v>31</v>
      </c>
      <c r="R33" s="2">
        <v>0.9</v>
      </c>
      <c r="S33" s="2" t="s">
        <v>32</v>
      </c>
      <c r="T33" s="2" t="s">
        <v>33</v>
      </c>
      <c r="U33" s="2">
        <v>15.0</v>
      </c>
      <c r="V33" s="2" t="s">
        <v>60</v>
      </c>
      <c r="W33" s="2">
        <f>14.9/100</f>
        <v>0.149</v>
      </c>
      <c r="X33" s="2">
        <f>35.1/100</f>
        <v>0.351</v>
      </c>
      <c r="Z33" s="2">
        <f>2.5/100</f>
        <v>0.025</v>
      </c>
    </row>
    <row r="34" ht="15.75" customHeight="1">
      <c r="A34" s="2" t="s">
        <v>82</v>
      </c>
      <c r="B34" s="2">
        <v>3551.0</v>
      </c>
      <c r="C34" s="2">
        <v>3551.0</v>
      </c>
      <c r="D34" s="2">
        <v>0.0</v>
      </c>
      <c r="E34" s="2">
        <v>15.5</v>
      </c>
      <c r="F34" s="2" t="s">
        <v>27</v>
      </c>
      <c r="G34" s="2" t="s">
        <v>81</v>
      </c>
      <c r="H34" s="2">
        <v>36.64</v>
      </c>
      <c r="I34" s="2">
        <v>4.31</v>
      </c>
      <c r="J34" s="2">
        <v>54.66</v>
      </c>
      <c r="K34" s="2">
        <v>20.4</v>
      </c>
      <c r="L34" s="2" t="s">
        <v>29</v>
      </c>
      <c r="M34" s="2">
        <v>40.25</v>
      </c>
      <c r="N34" s="2">
        <v>71.75</v>
      </c>
      <c r="O34" s="2" t="s">
        <v>30</v>
      </c>
      <c r="P34" s="2" t="s">
        <v>47</v>
      </c>
      <c r="Q34" s="2" t="s">
        <v>37</v>
      </c>
      <c r="R34" s="2">
        <v>0.9</v>
      </c>
      <c r="S34" s="2" t="s">
        <v>32</v>
      </c>
      <c r="T34" s="2" t="s">
        <v>33</v>
      </c>
      <c r="U34" s="2">
        <v>15.0</v>
      </c>
      <c r="V34" s="2" t="s">
        <v>60</v>
      </c>
      <c r="W34" s="2">
        <f>3.1/100</f>
        <v>0.031</v>
      </c>
      <c r="X34" s="2">
        <f>11.1/100</f>
        <v>0.111</v>
      </c>
      <c r="Z34" s="2">
        <f>3.2/100</f>
        <v>0.032</v>
      </c>
    </row>
    <row r="35" ht="15.75" customHeight="1">
      <c r="A35" s="2" t="s">
        <v>82</v>
      </c>
      <c r="B35" s="2">
        <v>3236.0</v>
      </c>
      <c r="C35" s="2">
        <v>0.0</v>
      </c>
      <c r="D35" s="2">
        <v>3236.0</v>
      </c>
      <c r="E35" s="2">
        <v>15.5</v>
      </c>
      <c r="F35" s="2" t="s">
        <v>27</v>
      </c>
      <c r="G35" s="2" t="s">
        <v>81</v>
      </c>
      <c r="H35" s="2">
        <v>36.64</v>
      </c>
      <c r="I35" s="2">
        <v>4.31</v>
      </c>
      <c r="J35" s="2">
        <v>54.66</v>
      </c>
      <c r="K35" s="2">
        <v>20.4</v>
      </c>
      <c r="L35" s="2" t="s">
        <v>30</v>
      </c>
      <c r="M35" s="2">
        <v>97.0</v>
      </c>
      <c r="N35" s="2">
        <v>8.6</v>
      </c>
      <c r="O35" s="2" t="s">
        <v>29</v>
      </c>
      <c r="P35" s="2" t="s">
        <v>51</v>
      </c>
      <c r="Q35" s="2" t="s">
        <v>37</v>
      </c>
      <c r="R35" s="2">
        <v>0.9</v>
      </c>
      <c r="S35" s="2" t="s">
        <v>32</v>
      </c>
      <c r="T35" s="2" t="s">
        <v>33</v>
      </c>
      <c r="U35" s="2">
        <v>15.0</v>
      </c>
      <c r="V35" s="2" t="s">
        <v>60</v>
      </c>
      <c r="W35" s="2">
        <f>9.6/100</f>
        <v>0.096</v>
      </c>
      <c r="X35" s="2">
        <f>23.1/100</f>
        <v>0.231</v>
      </c>
      <c r="Z35" s="2">
        <f>0.5/100</f>
        <v>0.005</v>
      </c>
    </row>
    <row r="36" ht="15.75" customHeight="1">
      <c r="A36" s="2" t="s">
        <v>83</v>
      </c>
      <c r="B36" s="2">
        <v>498.0</v>
      </c>
      <c r="C36" s="2">
        <v>498.0</v>
      </c>
      <c r="D36" s="2">
        <v>0.0</v>
      </c>
      <c r="E36" s="2">
        <v>15.93</v>
      </c>
      <c r="F36" s="2" t="s">
        <v>39</v>
      </c>
      <c r="G36" s="2" t="s">
        <v>40</v>
      </c>
      <c r="H36" s="2">
        <v>22.0</v>
      </c>
      <c r="I36" s="2">
        <v>72.3</v>
      </c>
      <c r="J36" s="2">
        <v>9.5</v>
      </c>
      <c r="L36" s="2"/>
      <c r="O36" s="2" t="s">
        <v>30</v>
      </c>
      <c r="Q36" s="2" t="s">
        <v>37</v>
      </c>
      <c r="S36" s="2" t="s">
        <v>42</v>
      </c>
      <c r="T36" s="2" t="s">
        <v>33</v>
      </c>
      <c r="V36" s="2" t="s">
        <v>60</v>
      </c>
      <c r="Y36" s="2">
        <f>33.3/100</f>
        <v>0.333</v>
      </c>
    </row>
    <row r="37" ht="15.75" customHeight="1">
      <c r="A37" s="2" t="s">
        <v>84</v>
      </c>
      <c r="B37" s="2">
        <v>106.0</v>
      </c>
      <c r="C37" s="2">
        <v>106.0</v>
      </c>
      <c r="D37" s="2">
        <v>0.0</v>
      </c>
      <c r="F37" s="2" t="s">
        <v>39</v>
      </c>
      <c r="G37" s="2" t="s">
        <v>40</v>
      </c>
      <c r="I37" s="2">
        <v>57.9</v>
      </c>
      <c r="L37" s="2" t="s">
        <v>29</v>
      </c>
      <c r="M37" s="2">
        <v>47.1</v>
      </c>
      <c r="N37" s="2">
        <v>52.9</v>
      </c>
      <c r="O37" s="2" t="s">
        <v>30</v>
      </c>
      <c r="P37" s="2">
        <v>2000.0</v>
      </c>
      <c r="Q37" s="2" t="s">
        <v>37</v>
      </c>
      <c r="R37" s="2">
        <v>0.29</v>
      </c>
      <c r="S37" s="2" t="s">
        <v>42</v>
      </c>
      <c r="T37" s="2" t="s">
        <v>33</v>
      </c>
      <c r="V37" s="2" t="s">
        <v>34</v>
      </c>
      <c r="Y37" s="2">
        <f>24.4/100</f>
        <v>0.244</v>
      </c>
    </row>
    <row r="38" ht="15.75" customHeight="1">
      <c r="A38" s="2" t="s">
        <v>84</v>
      </c>
      <c r="B38" s="2">
        <v>120.0</v>
      </c>
      <c r="C38" s="2">
        <v>0.0</v>
      </c>
      <c r="D38" s="2">
        <v>120.0</v>
      </c>
      <c r="F38" s="2" t="s">
        <v>39</v>
      </c>
      <c r="G38" s="2" t="s">
        <v>40</v>
      </c>
      <c r="I38" s="2">
        <v>53.2</v>
      </c>
      <c r="L38" s="2" t="s">
        <v>30</v>
      </c>
      <c r="M38" s="2">
        <v>91.9</v>
      </c>
      <c r="N38" s="2">
        <v>0.1</v>
      </c>
      <c r="O38" s="2" t="s">
        <v>29</v>
      </c>
      <c r="P38" s="2">
        <v>2000.0</v>
      </c>
      <c r="Q38" s="2" t="s">
        <v>37</v>
      </c>
      <c r="R38" s="2">
        <v>0.29</v>
      </c>
      <c r="S38" s="2" t="s">
        <v>42</v>
      </c>
      <c r="T38" s="2" t="s">
        <v>33</v>
      </c>
      <c r="V38" s="2" t="s">
        <v>34</v>
      </c>
      <c r="Y38" s="2">
        <f>45.5/100</f>
        <v>0.455</v>
      </c>
    </row>
    <row r="39" ht="15.75" customHeight="1">
      <c r="A39" s="2" t="s">
        <v>84</v>
      </c>
      <c r="B39" s="2">
        <v>226.0</v>
      </c>
      <c r="C39" s="2">
        <v>106.0</v>
      </c>
      <c r="D39" s="2">
        <v>120.0</v>
      </c>
      <c r="F39" s="2" t="s">
        <v>39</v>
      </c>
      <c r="G39" s="2" t="s">
        <v>40</v>
      </c>
      <c r="L39" s="2"/>
      <c r="M39" s="2">
        <v>69.5</v>
      </c>
      <c r="N39" s="2">
        <v>26.5</v>
      </c>
      <c r="O39" s="2" t="s">
        <v>35</v>
      </c>
      <c r="P39" s="2">
        <v>2000.0</v>
      </c>
      <c r="Q39" s="2" t="s">
        <v>37</v>
      </c>
      <c r="R39" s="2">
        <v>0.29</v>
      </c>
      <c r="S39" s="2" t="s">
        <v>42</v>
      </c>
      <c r="T39" s="2" t="s">
        <v>33</v>
      </c>
      <c r="V39" s="2" t="s">
        <v>34</v>
      </c>
      <c r="Y39" s="2">
        <f>38.1/100</f>
        <v>0.381</v>
      </c>
    </row>
    <row r="40" ht="15.75" customHeight="1">
      <c r="A40" s="2" t="s">
        <v>85</v>
      </c>
      <c r="B40" s="2">
        <v>853.0</v>
      </c>
      <c r="C40" s="2">
        <v>0.0</v>
      </c>
      <c r="D40" s="2">
        <v>853.0</v>
      </c>
      <c r="E40" s="2">
        <v>16.03</v>
      </c>
      <c r="F40" s="2" t="s">
        <v>86</v>
      </c>
      <c r="G40" s="2" t="s">
        <v>87</v>
      </c>
      <c r="H40" s="2">
        <v>50.1</v>
      </c>
      <c r="I40" s="2">
        <v>6.3</v>
      </c>
      <c r="K40" s="2">
        <v>37.5</v>
      </c>
      <c r="L40" s="2" t="s">
        <v>30</v>
      </c>
      <c r="O40" s="2" t="s">
        <v>29</v>
      </c>
      <c r="P40" s="2">
        <v>2020.0</v>
      </c>
      <c r="Q40" s="2" t="s">
        <v>37</v>
      </c>
      <c r="S40" s="2" t="s">
        <v>42</v>
      </c>
      <c r="T40" s="2" t="s">
        <v>43</v>
      </c>
      <c r="U40" s="2">
        <v>18.0</v>
      </c>
      <c r="V40" s="2" t="s">
        <v>60</v>
      </c>
      <c r="W40" s="2">
        <f>20.3/100</f>
        <v>0.203</v>
      </c>
      <c r="X40" s="2">
        <f>14.8/100</f>
        <v>0.148</v>
      </c>
      <c r="Y40" s="2">
        <f>32.5/100</f>
        <v>0.325</v>
      </c>
      <c r="Z40" s="2">
        <f>1.9/100</f>
        <v>0.019</v>
      </c>
    </row>
    <row r="41" ht="15.75" customHeight="1">
      <c r="A41" s="2" t="s">
        <v>88</v>
      </c>
      <c r="B41" s="2">
        <v>590.0</v>
      </c>
      <c r="C41" s="2">
        <v>590.0</v>
      </c>
      <c r="D41" s="2">
        <v>0.0</v>
      </c>
      <c r="E41" s="2">
        <v>14.52</v>
      </c>
      <c r="F41" s="2" t="s">
        <v>27</v>
      </c>
      <c r="G41" s="2" t="s">
        <v>66</v>
      </c>
      <c r="I41" s="2">
        <v>4.2</v>
      </c>
      <c r="J41" s="2">
        <v>20.8</v>
      </c>
      <c r="K41" s="2">
        <v>62.5</v>
      </c>
      <c r="L41" s="2" t="s">
        <v>35</v>
      </c>
      <c r="M41" s="2">
        <v>66.7</v>
      </c>
      <c r="N41" s="2">
        <v>25.0</v>
      </c>
      <c r="O41" s="2" t="s">
        <v>30</v>
      </c>
      <c r="Q41" s="2" t="s">
        <v>31</v>
      </c>
      <c r="R41" s="2">
        <v>0.99</v>
      </c>
      <c r="S41" s="2" t="s">
        <v>32</v>
      </c>
      <c r="T41" s="2" t="s">
        <v>33</v>
      </c>
      <c r="U41" s="2">
        <v>14.0</v>
      </c>
      <c r="V41" s="2" t="s">
        <v>34</v>
      </c>
      <c r="W41" s="2">
        <v>0.015</v>
      </c>
      <c r="X41" s="2">
        <v>0.029</v>
      </c>
      <c r="Y41" s="2">
        <v>0.041</v>
      </c>
      <c r="Z41" s="2">
        <v>0.003</v>
      </c>
    </row>
    <row r="42" ht="15.75" customHeight="1">
      <c r="A42" s="2" t="s">
        <v>88</v>
      </c>
      <c r="B42" s="2">
        <v>515.0</v>
      </c>
      <c r="C42" s="2">
        <v>0.0</v>
      </c>
      <c r="D42" s="2">
        <v>515.0</v>
      </c>
      <c r="E42" s="2">
        <v>14.52</v>
      </c>
      <c r="F42" s="2" t="s">
        <v>27</v>
      </c>
      <c r="G42" s="2" t="s">
        <v>66</v>
      </c>
      <c r="I42" s="2">
        <v>8.2</v>
      </c>
      <c r="J42" s="2">
        <v>42.5</v>
      </c>
      <c r="K42" s="2">
        <v>49.3</v>
      </c>
      <c r="L42" s="2" t="s">
        <v>35</v>
      </c>
      <c r="M42" s="2">
        <v>94.5</v>
      </c>
      <c r="N42" s="2">
        <v>9.6</v>
      </c>
      <c r="O42" s="2" t="s">
        <v>29</v>
      </c>
      <c r="Q42" s="2" t="s">
        <v>31</v>
      </c>
      <c r="R42" s="2">
        <v>0.99</v>
      </c>
      <c r="S42" s="2" t="s">
        <v>32</v>
      </c>
      <c r="T42" s="2" t="s">
        <v>33</v>
      </c>
      <c r="U42" s="2">
        <v>14.0</v>
      </c>
      <c r="V42" s="2" t="s">
        <v>34</v>
      </c>
      <c r="W42" s="2">
        <v>0.052</v>
      </c>
      <c r="X42" s="2">
        <v>0.101</v>
      </c>
      <c r="Y42" s="2">
        <v>0.142</v>
      </c>
      <c r="Z42" s="2">
        <v>0.014</v>
      </c>
    </row>
    <row r="43" ht="15.75" customHeight="1">
      <c r="A43" s="2" t="s">
        <v>88</v>
      </c>
      <c r="B43" s="2">
        <f>C43+D43</f>
        <v>1105</v>
      </c>
      <c r="C43" s="2">
        <v>590.0</v>
      </c>
      <c r="D43" s="2">
        <v>515.0</v>
      </c>
      <c r="E43" s="2">
        <v>14.52</v>
      </c>
      <c r="F43" s="2" t="s">
        <v>27</v>
      </c>
      <c r="G43" s="2" t="s">
        <v>66</v>
      </c>
      <c r="I43" s="2">
        <v>7.2</v>
      </c>
      <c r="J43" s="2">
        <v>37.1</v>
      </c>
      <c r="K43" s="2">
        <v>52.6</v>
      </c>
      <c r="L43" s="2" t="s">
        <v>35</v>
      </c>
      <c r="M43" s="2">
        <v>87.6</v>
      </c>
      <c r="N43" s="2">
        <v>13.4</v>
      </c>
      <c r="O43" s="2" t="s">
        <v>35</v>
      </c>
      <c r="Q43" s="2" t="s">
        <v>31</v>
      </c>
      <c r="R43" s="2">
        <v>0.99</v>
      </c>
      <c r="S43" s="2" t="s">
        <v>32</v>
      </c>
      <c r="T43" s="2" t="s">
        <v>33</v>
      </c>
      <c r="U43" s="2">
        <v>14.0</v>
      </c>
      <c r="V43" s="2" t="s">
        <v>34</v>
      </c>
      <c r="W43" s="2">
        <v>0.033</v>
      </c>
      <c r="X43" s="2">
        <v>0.062</v>
      </c>
      <c r="Y43" s="2">
        <v>0.088</v>
      </c>
      <c r="Z43" s="2">
        <v>0.008</v>
      </c>
    </row>
    <row r="44" ht="15.75" customHeight="1">
      <c r="A44" s="2" t="s">
        <v>89</v>
      </c>
      <c r="B44" s="2">
        <v>1858.0</v>
      </c>
      <c r="C44" s="2">
        <v>1858.0</v>
      </c>
      <c r="D44" s="2">
        <v>0.0</v>
      </c>
      <c r="E44" s="2">
        <v>15.42</v>
      </c>
      <c r="F44" s="2" t="s">
        <v>27</v>
      </c>
      <c r="G44" s="2" t="s">
        <v>66</v>
      </c>
      <c r="H44" s="2">
        <f>0.9+1+3.5+1</f>
        <v>6.4</v>
      </c>
      <c r="I44" s="2">
        <v>9.8</v>
      </c>
      <c r="J44" s="2">
        <f>0.8+1+1.9+0.8</f>
        <v>4.5</v>
      </c>
      <c r="K44" s="2">
        <f>3.5+1+1.9+0.8+2.3</f>
        <v>9.5</v>
      </c>
      <c r="L44" s="2"/>
      <c r="O44" s="2" t="s">
        <v>30</v>
      </c>
      <c r="P44" s="2" t="s">
        <v>90</v>
      </c>
      <c r="Q44" s="2" t="s">
        <v>37</v>
      </c>
      <c r="R44" s="2">
        <v>0.93</v>
      </c>
      <c r="S44" s="2" t="s">
        <v>32</v>
      </c>
      <c r="T44" s="2" t="s">
        <v>33</v>
      </c>
      <c r="U44" s="2">
        <v>14.0</v>
      </c>
      <c r="V44" s="2" t="s">
        <v>34</v>
      </c>
      <c r="W44" s="2">
        <v>0.066</v>
      </c>
      <c r="X44" s="2">
        <v>0.059</v>
      </c>
      <c r="Y44" s="2">
        <v>0.112</v>
      </c>
      <c r="Z44" s="2">
        <v>0.012</v>
      </c>
    </row>
    <row r="45" ht="15.75" customHeight="1">
      <c r="A45" s="2" t="s">
        <v>89</v>
      </c>
      <c r="B45" s="2">
        <v>2061.0</v>
      </c>
      <c r="C45" s="2">
        <v>0.0</v>
      </c>
      <c r="D45" s="2">
        <v>2061.0</v>
      </c>
      <c r="E45" s="2">
        <v>15.42</v>
      </c>
      <c r="F45" s="2" t="s">
        <v>27</v>
      </c>
      <c r="G45" s="2" t="s">
        <v>66</v>
      </c>
      <c r="H45" s="2">
        <f>1.7+0.3+4.7+1.5</f>
        <v>8.2</v>
      </c>
      <c r="I45" s="2">
        <v>9.8</v>
      </c>
      <c r="J45" s="2">
        <f>1.9+0.4+3.2+0.8</f>
        <v>6.3</v>
      </c>
      <c r="K45" s="2">
        <f>4.7+1.5+3.2+0.8+6.6</f>
        <v>16.8</v>
      </c>
      <c r="L45" s="2"/>
      <c r="O45" s="2" t="s">
        <v>29</v>
      </c>
      <c r="P45" s="2" t="s">
        <v>90</v>
      </c>
      <c r="Q45" s="2" t="s">
        <v>37</v>
      </c>
      <c r="R45" s="2">
        <v>0.93</v>
      </c>
      <c r="S45" s="2" t="s">
        <v>32</v>
      </c>
      <c r="T45" s="2" t="s">
        <v>33</v>
      </c>
      <c r="U45" s="2">
        <v>14.0</v>
      </c>
      <c r="V45" s="2" t="s">
        <v>34</v>
      </c>
      <c r="W45" s="2">
        <v>0.126</v>
      </c>
      <c r="X45" s="2">
        <v>0.183</v>
      </c>
      <c r="Y45" s="2">
        <v>0.24</v>
      </c>
      <c r="Z45" s="2">
        <v>0.005</v>
      </c>
    </row>
    <row r="46" ht="15.75" customHeight="1">
      <c r="A46" s="2" t="s">
        <v>89</v>
      </c>
      <c r="B46" s="2">
        <f>B44+B45</f>
        <v>3919</v>
      </c>
      <c r="C46" s="2">
        <v>1858.0</v>
      </c>
      <c r="D46" s="2">
        <v>2061.0</v>
      </c>
      <c r="E46" s="2">
        <v>15.42</v>
      </c>
      <c r="F46" s="2" t="s">
        <v>27</v>
      </c>
      <c r="G46" s="2" t="s">
        <v>66</v>
      </c>
      <c r="H46" s="2">
        <f>1.5+0.7+4.3+1.3</f>
        <v>7.8</v>
      </c>
      <c r="I46" s="2">
        <v>9.8</v>
      </c>
      <c r="J46" s="2">
        <f>1.4+0.7+2.7+0.8</f>
        <v>5.6</v>
      </c>
      <c r="K46" s="2">
        <f>4.3+1.3+2.7+0.8+4.5</f>
        <v>13.6</v>
      </c>
      <c r="L46" s="2"/>
      <c r="O46" s="2" t="s">
        <v>35</v>
      </c>
      <c r="P46" s="2" t="s">
        <v>90</v>
      </c>
      <c r="Q46" s="2" t="s">
        <v>37</v>
      </c>
      <c r="R46" s="2">
        <v>0.93</v>
      </c>
      <c r="S46" s="2" t="s">
        <v>32</v>
      </c>
      <c r="T46" s="2" t="s">
        <v>33</v>
      </c>
      <c r="U46" s="2">
        <v>14.0</v>
      </c>
      <c r="V46" s="2" t="s">
        <v>34</v>
      </c>
      <c r="W46" s="2">
        <v>0.099</v>
      </c>
      <c r="X46" s="2">
        <v>0.121</v>
      </c>
      <c r="Y46" s="2">
        <v>0.178</v>
      </c>
      <c r="Z46" s="2">
        <v>0.009</v>
      </c>
    </row>
    <row r="47" ht="15.75" customHeight="1">
      <c r="A47" s="2" t="s">
        <v>91</v>
      </c>
      <c r="B47" s="2">
        <v>1099.0</v>
      </c>
      <c r="C47" s="2">
        <v>1099.0</v>
      </c>
      <c r="D47" s="2">
        <v>0.0</v>
      </c>
      <c r="F47" s="2" t="s">
        <v>45</v>
      </c>
      <c r="G47" s="2" t="s">
        <v>92</v>
      </c>
      <c r="L47" s="2"/>
      <c r="O47" s="2" t="s">
        <v>30</v>
      </c>
      <c r="Q47" s="2" t="s">
        <v>31</v>
      </c>
      <c r="R47" s="2">
        <v>0.96</v>
      </c>
      <c r="S47" s="2" t="s">
        <v>32</v>
      </c>
      <c r="T47" s="2" t="s">
        <v>33</v>
      </c>
      <c r="U47" s="2">
        <v>4.0</v>
      </c>
      <c r="V47" s="2" t="s">
        <v>48</v>
      </c>
      <c r="W47" s="2">
        <f>8.85/100</f>
        <v>0.0885</v>
      </c>
      <c r="Y47" s="2">
        <f>5.67/100</f>
        <v>0.0567</v>
      </c>
    </row>
    <row r="48" ht="15.75" customHeight="1">
      <c r="A48" s="2" t="s">
        <v>91</v>
      </c>
      <c r="B48" s="2">
        <v>1290.0</v>
      </c>
      <c r="C48" s="2">
        <v>0.0</v>
      </c>
      <c r="D48" s="2">
        <v>1290.0</v>
      </c>
      <c r="F48" s="2" t="s">
        <v>45</v>
      </c>
      <c r="G48" s="2" t="s">
        <v>92</v>
      </c>
      <c r="L48" s="2"/>
      <c r="O48" s="2" t="s">
        <v>29</v>
      </c>
      <c r="Q48" s="2" t="s">
        <v>31</v>
      </c>
      <c r="R48" s="2">
        <v>0.96</v>
      </c>
      <c r="S48" s="2" t="s">
        <v>32</v>
      </c>
      <c r="T48" s="2" t="s">
        <v>33</v>
      </c>
      <c r="U48" s="2">
        <v>4.0</v>
      </c>
      <c r="V48" s="2" t="s">
        <v>34</v>
      </c>
      <c r="W48" s="2">
        <f>9.5/100</f>
        <v>0.095</v>
      </c>
      <c r="Y48" s="2">
        <f>5.47/100</f>
        <v>0.0547</v>
      </c>
    </row>
    <row r="49" ht="15.75" customHeight="1">
      <c r="A49" s="2" t="s">
        <v>93</v>
      </c>
      <c r="B49" s="2">
        <v>73.0</v>
      </c>
      <c r="C49" s="2">
        <v>15.0</v>
      </c>
      <c r="D49" s="2">
        <v>58.0</v>
      </c>
      <c r="E49" s="2">
        <v>13.34</v>
      </c>
      <c r="F49" s="2" t="s">
        <v>94</v>
      </c>
      <c r="G49" s="2" t="s">
        <v>94</v>
      </c>
      <c r="L49" s="2"/>
      <c r="O49" s="2" t="s">
        <v>35</v>
      </c>
      <c r="P49" s="2">
        <v>2011.0</v>
      </c>
      <c r="Q49" s="2" t="s">
        <v>37</v>
      </c>
      <c r="R49" s="2">
        <v>0.61</v>
      </c>
      <c r="S49" s="2" t="s">
        <v>42</v>
      </c>
      <c r="T49" s="2" t="s">
        <v>43</v>
      </c>
      <c r="V49" s="2"/>
      <c r="W49" s="2">
        <f>37/100</f>
        <v>0.37</v>
      </c>
      <c r="X49" s="2">
        <f>20.5/100</f>
        <v>0.205</v>
      </c>
      <c r="Z49" s="2">
        <f>27.4/100</f>
        <v>0.274</v>
      </c>
    </row>
    <row r="50" ht="15.75" customHeight="1">
      <c r="A50" s="2" t="s">
        <v>95</v>
      </c>
      <c r="B50" s="2">
        <v>194.0</v>
      </c>
      <c r="C50" s="2">
        <v>194.0</v>
      </c>
      <c r="D50" s="2">
        <v>0.0</v>
      </c>
      <c r="F50" s="2" t="s">
        <v>45</v>
      </c>
      <c r="G50" s="2" t="s">
        <v>96</v>
      </c>
      <c r="H50" s="2">
        <v>9.5</v>
      </c>
      <c r="I50" s="2">
        <v>16.9</v>
      </c>
      <c r="J50" s="2">
        <v>21.6</v>
      </c>
      <c r="K50" s="2">
        <v>26.4</v>
      </c>
      <c r="L50" s="2" t="s">
        <v>30</v>
      </c>
      <c r="M50" s="2">
        <v>85.1</v>
      </c>
      <c r="N50" s="2">
        <v>14.9</v>
      </c>
      <c r="O50" s="2" t="s">
        <v>30</v>
      </c>
      <c r="P50" s="2">
        <v>2018.0</v>
      </c>
      <c r="Q50" s="2" t="s">
        <v>31</v>
      </c>
      <c r="S50" s="2" t="s">
        <v>32</v>
      </c>
      <c r="T50" s="2" t="s">
        <v>33</v>
      </c>
      <c r="V50" s="2" t="s">
        <v>60</v>
      </c>
      <c r="Y50" s="2">
        <f>33/100</f>
        <v>0.33</v>
      </c>
    </row>
    <row r="51" ht="15.75" customHeight="1">
      <c r="A51" s="2" t="s">
        <v>95</v>
      </c>
      <c r="B51" s="2">
        <v>258.0</v>
      </c>
      <c r="C51" s="2">
        <v>0.0</v>
      </c>
      <c r="D51" s="2">
        <v>258.0</v>
      </c>
      <c r="F51" s="2" t="s">
        <v>45</v>
      </c>
      <c r="G51" s="2" t="s">
        <v>96</v>
      </c>
      <c r="H51" s="2">
        <v>9.5</v>
      </c>
      <c r="I51" s="2">
        <v>16.9</v>
      </c>
      <c r="J51" s="2">
        <v>21.6</v>
      </c>
      <c r="K51" s="2">
        <v>26.4</v>
      </c>
      <c r="L51" s="2" t="s">
        <v>30</v>
      </c>
      <c r="M51" s="2">
        <v>85.1</v>
      </c>
      <c r="N51" s="2">
        <v>14.9</v>
      </c>
      <c r="O51" s="2" t="s">
        <v>29</v>
      </c>
      <c r="P51" s="2">
        <v>2018.0</v>
      </c>
      <c r="Q51" s="2" t="s">
        <v>31</v>
      </c>
      <c r="S51" s="2" t="s">
        <v>32</v>
      </c>
      <c r="T51" s="2" t="s">
        <v>33</v>
      </c>
      <c r="V51" s="2" t="s">
        <v>60</v>
      </c>
      <c r="Y51" s="2">
        <f>32.6/100</f>
        <v>0.326</v>
      </c>
    </row>
    <row r="52" ht="15.75" customHeight="1">
      <c r="A52" s="2" t="s">
        <v>95</v>
      </c>
      <c r="B52" s="2">
        <v>452.0</v>
      </c>
      <c r="C52" s="2">
        <v>194.0</v>
      </c>
      <c r="D52" s="2">
        <v>258.0</v>
      </c>
      <c r="F52" s="2" t="s">
        <v>45</v>
      </c>
      <c r="G52" s="2" t="s">
        <v>96</v>
      </c>
      <c r="H52" s="2">
        <v>9.5</v>
      </c>
      <c r="I52" s="2">
        <v>16.9</v>
      </c>
      <c r="J52" s="2">
        <v>21.6</v>
      </c>
      <c r="K52" s="2">
        <v>26.4</v>
      </c>
      <c r="L52" s="2" t="s">
        <v>30</v>
      </c>
      <c r="M52" s="2">
        <v>85.1</v>
      </c>
      <c r="N52" s="2">
        <v>14.9</v>
      </c>
      <c r="O52" s="2" t="s">
        <v>35</v>
      </c>
      <c r="P52" s="2">
        <v>2018.0</v>
      </c>
      <c r="Q52" s="2" t="s">
        <v>31</v>
      </c>
      <c r="S52" s="2" t="s">
        <v>32</v>
      </c>
      <c r="T52" s="2" t="s">
        <v>33</v>
      </c>
      <c r="V52" s="2" t="s">
        <v>60</v>
      </c>
      <c r="Y52" s="2">
        <f>32.7/100</f>
        <v>0.327</v>
      </c>
    </row>
    <row r="53" ht="15.75" customHeight="1">
      <c r="A53" s="2" t="s">
        <v>97</v>
      </c>
      <c r="B53" s="2">
        <v>1091.0</v>
      </c>
      <c r="C53" s="2">
        <v>1091.0</v>
      </c>
      <c r="D53" s="2">
        <v>0.0</v>
      </c>
      <c r="F53" s="2" t="s">
        <v>45</v>
      </c>
      <c r="G53" s="2" t="s">
        <v>46</v>
      </c>
      <c r="L53" s="2"/>
      <c r="O53" s="2" t="s">
        <v>30</v>
      </c>
      <c r="P53" s="2" t="s">
        <v>98</v>
      </c>
      <c r="Q53" s="2" t="s">
        <v>37</v>
      </c>
      <c r="R53" s="2">
        <v>0.96</v>
      </c>
      <c r="S53" s="2" t="s">
        <v>32</v>
      </c>
      <c r="T53" s="2"/>
      <c r="V53" s="2"/>
      <c r="Y53" s="2">
        <f>18.2/100</f>
        <v>0.182</v>
      </c>
    </row>
    <row r="54" ht="15.75" customHeight="1">
      <c r="A54" s="2" t="s">
        <v>97</v>
      </c>
      <c r="B54" s="2">
        <v>1201.0</v>
      </c>
      <c r="C54" s="2">
        <v>0.0</v>
      </c>
      <c r="D54" s="2">
        <v>1201.0</v>
      </c>
      <c r="F54" s="2" t="s">
        <v>45</v>
      </c>
      <c r="G54" s="2" t="s">
        <v>46</v>
      </c>
      <c r="L54" s="2"/>
      <c r="O54" s="2" t="s">
        <v>29</v>
      </c>
      <c r="P54" s="2" t="s">
        <v>99</v>
      </c>
      <c r="Q54" s="2" t="s">
        <v>37</v>
      </c>
      <c r="R54" s="2">
        <v>0.96</v>
      </c>
      <c r="S54" s="2" t="s">
        <v>32</v>
      </c>
      <c r="T54" s="2"/>
      <c r="V54" s="2"/>
      <c r="Y54" s="2">
        <f>12.9/100</f>
        <v>0.129</v>
      </c>
    </row>
    <row r="55" ht="15.75" customHeight="1">
      <c r="A55" s="2" t="s">
        <v>97</v>
      </c>
      <c r="B55" s="2">
        <v>2292.0</v>
      </c>
      <c r="C55" s="2">
        <v>1091.0</v>
      </c>
      <c r="D55" s="2">
        <v>1201.0</v>
      </c>
      <c r="F55" s="2" t="s">
        <v>45</v>
      </c>
      <c r="G55" s="2" t="s">
        <v>46</v>
      </c>
      <c r="L55" s="2"/>
      <c r="O55" s="2" t="s">
        <v>35</v>
      </c>
      <c r="P55" s="2" t="s">
        <v>100</v>
      </c>
      <c r="Q55" s="2" t="s">
        <v>37</v>
      </c>
      <c r="R55" s="2">
        <v>0.96</v>
      </c>
      <c r="S55" s="2" t="s">
        <v>32</v>
      </c>
      <c r="T55" s="2"/>
      <c r="V55" s="2"/>
      <c r="Y55" s="2">
        <f>15.4/100</f>
        <v>0.154</v>
      </c>
    </row>
    <row r="56" ht="15.75" customHeight="1">
      <c r="A56" s="2" t="s">
        <v>101</v>
      </c>
      <c r="B56" s="2">
        <v>1028.0</v>
      </c>
      <c r="C56" s="2">
        <v>556.0</v>
      </c>
      <c r="D56" s="2">
        <v>472.0</v>
      </c>
      <c r="E56" s="2">
        <v>11.89</v>
      </c>
      <c r="F56" s="2" t="s">
        <v>45</v>
      </c>
      <c r="G56" s="2" t="s">
        <v>102</v>
      </c>
      <c r="L56" s="2"/>
      <c r="O56" s="2" t="s">
        <v>35</v>
      </c>
      <c r="P56" s="2">
        <v>2006.0</v>
      </c>
      <c r="Q56" s="2" t="s">
        <v>37</v>
      </c>
      <c r="R56" s="2">
        <v>0.99</v>
      </c>
      <c r="S56" s="2" t="s">
        <v>42</v>
      </c>
      <c r="T56" s="2"/>
      <c r="U56" s="2">
        <v>35.0</v>
      </c>
      <c r="V56" s="2" t="s">
        <v>34</v>
      </c>
      <c r="Y56" s="2">
        <f>11/100</f>
        <v>0.11</v>
      </c>
    </row>
    <row r="57" ht="15.75" customHeight="1">
      <c r="A57" s="2" t="s">
        <v>103</v>
      </c>
      <c r="B57" s="2">
        <v>1028.0</v>
      </c>
      <c r="C57" s="2">
        <v>556.0</v>
      </c>
      <c r="D57" s="2">
        <v>472.0</v>
      </c>
      <c r="E57" s="2">
        <v>11.89</v>
      </c>
      <c r="F57" s="2" t="s">
        <v>45</v>
      </c>
      <c r="G57" s="2" t="s">
        <v>102</v>
      </c>
      <c r="L57" s="2"/>
      <c r="O57" s="2" t="s">
        <v>35</v>
      </c>
      <c r="P57" s="2">
        <v>2006.0</v>
      </c>
      <c r="Q57" s="2" t="s">
        <v>37</v>
      </c>
      <c r="R57" s="2">
        <v>0.99</v>
      </c>
      <c r="S57" s="2" t="s">
        <v>42</v>
      </c>
      <c r="T57" s="2"/>
      <c r="U57" s="2">
        <v>35.0</v>
      </c>
      <c r="V57" s="2" t="s">
        <v>34</v>
      </c>
      <c r="Y57" s="2">
        <f>9/100</f>
        <v>0.09</v>
      </c>
    </row>
    <row r="58" ht="15.75" customHeight="1">
      <c r="A58" s="2" t="s">
        <v>104</v>
      </c>
      <c r="B58" s="2">
        <v>9070.0</v>
      </c>
      <c r="C58" s="2">
        <v>9070.0</v>
      </c>
      <c r="D58" s="2">
        <v>0.0</v>
      </c>
      <c r="F58" s="2" t="s">
        <v>39</v>
      </c>
      <c r="G58" s="2" t="s">
        <v>105</v>
      </c>
      <c r="H58" s="2">
        <v>17.5</v>
      </c>
      <c r="I58" s="2">
        <v>34.9</v>
      </c>
      <c r="J58" s="2">
        <v>23.5</v>
      </c>
      <c r="K58" s="2">
        <v>20.6</v>
      </c>
      <c r="L58" s="2" t="s">
        <v>30</v>
      </c>
      <c r="M58" s="2">
        <v>60.1</v>
      </c>
      <c r="N58" s="2">
        <v>39.9</v>
      </c>
      <c r="O58" s="2" t="s">
        <v>30</v>
      </c>
      <c r="Q58" s="2"/>
      <c r="S58" s="2"/>
      <c r="T58" s="2"/>
      <c r="V58" s="2"/>
      <c r="Y58" s="2">
        <f>1.2/100</f>
        <v>0.012</v>
      </c>
    </row>
    <row r="59" ht="15.75" customHeight="1">
      <c r="A59" s="2" t="s">
        <v>104</v>
      </c>
      <c r="B59" s="2">
        <v>8855.0</v>
      </c>
      <c r="C59" s="2">
        <v>0.0</v>
      </c>
      <c r="D59" s="2">
        <v>8855.0</v>
      </c>
      <c r="F59" s="2" t="s">
        <v>39</v>
      </c>
      <c r="G59" s="2" t="s">
        <v>105</v>
      </c>
      <c r="H59" s="2">
        <v>19.1</v>
      </c>
      <c r="I59" s="2">
        <v>49.5</v>
      </c>
      <c r="J59" s="2">
        <v>21.1</v>
      </c>
      <c r="K59" s="2">
        <v>9.5</v>
      </c>
      <c r="L59" s="2" t="s">
        <v>30</v>
      </c>
      <c r="M59" s="2">
        <v>97.5</v>
      </c>
      <c r="N59" s="2">
        <v>2.5</v>
      </c>
      <c r="O59" s="2" t="s">
        <v>29</v>
      </c>
      <c r="Q59" s="2"/>
      <c r="S59" s="2"/>
      <c r="T59" s="2"/>
      <c r="V59" s="2"/>
      <c r="Y59" s="2">
        <f>3.8/100</f>
        <v>0.038</v>
      </c>
    </row>
    <row r="60" ht="15.75" customHeight="1">
      <c r="A60" s="2" t="s">
        <v>104</v>
      </c>
      <c r="B60" s="2">
        <v>17925.0</v>
      </c>
      <c r="C60" s="2">
        <v>9070.0</v>
      </c>
      <c r="D60" s="2">
        <v>8855.0</v>
      </c>
      <c r="F60" s="2" t="s">
        <v>39</v>
      </c>
      <c r="G60" s="2" t="s">
        <v>105</v>
      </c>
      <c r="H60" s="2">
        <v>18.7</v>
      </c>
      <c r="I60" s="2">
        <v>46.1</v>
      </c>
      <c r="J60" s="2">
        <v>21.6</v>
      </c>
      <c r="K60" s="2">
        <v>12.0</v>
      </c>
      <c r="L60" s="2" t="s">
        <v>30</v>
      </c>
      <c r="M60" s="2">
        <v>89.0</v>
      </c>
      <c r="N60" s="2">
        <v>11.0</v>
      </c>
      <c r="O60" s="2" t="s">
        <v>35</v>
      </c>
      <c r="P60" s="2" t="s">
        <v>62</v>
      </c>
      <c r="Q60" s="2" t="s">
        <v>31</v>
      </c>
      <c r="S60" s="2" t="s">
        <v>78</v>
      </c>
      <c r="T60" s="2"/>
      <c r="V60" s="2"/>
      <c r="Y60" s="2">
        <f>2.5/100</f>
        <v>0.025</v>
      </c>
    </row>
    <row r="61" ht="15.75" customHeight="1">
      <c r="A61" s="2" t="s">
        <v>106</v>
      </c>
      <c r="B61" s="2">
        <v>156.0</v>
      </c>
      <c r="C61" s="2">
        <v>156.0</v>
      </c>
      <c r="D61" s="2">
        <v>0.0</v>
      </c>
      <c r="E61" s="2">
        <v>15.9</v>
      </c>
      <c r="F61" s="2" t="s">
        <v>27</v>
      </c>
      <c r="G61" s="2" t="s">
        <v>107</v>
      </c>
      <c r="L61" s="2"/>
      <c r="O61" s="2" t="s">
        <v>30</v>
      </c>
      <c r="P61" s="2" t="s">
        <v>108</v>
      </c>
      <c r="Q61" s="2" t="s">
        <v>109</v>
      </c>
      <c r="R61" s="2">
        <v>0.81</v>
      </c>
      <c r="S61" s="2" t="s">
        <v>42</v>
      </c>
      <c r="T61" s="2" t="s">
        <v>43</v>
      </c>
      <c r="V61" s="2" t="s">
        <v>34</v>
      </c>
      <c r="Y61" s="2">
        <f>5.4/100</f>
        <v>0.054</v>
      </c>
    </row>
    <row r="62" ht="15.75" customHeight="1">
      <c r="A62" s="2" t="s">
        <v>106</v>
      </c>
      <c r="B62" s="2">
        <v>185.0</v>
      </c>
      <c r="C62" s="2">
        <v>0.0</v>
      </c>
      <c r="D62" s="2">
        <v>185.0</v>
      </c>
      <c r="E62" s="2">
        <v>15.8</v>
      </c>
      <c r="F62" s="2" t="s">
        <v>27</v>
      </c>
      <c r="G62" s="2" t="s">
        <v>107</v>
      </c>
      <c r="L62" s="2"/>
      <c r="O62" s="2" t="s">
        <v>29</v>
      </c>
      <c r="P62" s="2" t="s">
        <v>110</v>
      </c>
      <c r="Q62" s="2" t="s">
        <v>31</v>
      </c>
      <c r="R62" s="2">
        <v>0.81</v>
      </c>
      <c r="S62" s="2" t="s">
        <v>42</v>
      </c>
      <c r="T62" s="2" t="s">
        <v>43</v>
      </c>
      <c r="V62" s="2" t="s">
        <v>34</v>
      </c>
      <c r="Y62" s="2">
        <f>8.2/100</f>
        <v>0.082</v>
      </c>
    </row>
    <row r="63" ht="15.75" customHeight="1">
      <c r="A63" s="2" t="s">
        <v>111</v>
      </c>
      <c r="B63" s="2">
        <v>480.0</v>
      </c>
      <c r="C63" s="2">
        <v>480.0</v>
      </c>
      <c r="D63" s="2">
        <v>0.0</v>
      </c>
      <c r="E63" s="2">
        <v>15.04</v>
      </c>
      <c r="F63" s="2" t="s">
        <v>57</v>
      </c>
      <c r="G63" s="2" t="s">
        <v>112</v>
      </c>
      <c r="L63" s="2"/>
      <c r="O63" s="2" t="s">
        <v>30</v>
      </c>
      <c r="P63" s="2" t="s">
        <v>113</v>
      </c>
      <c r="Q63" s="2" t="s">
        <v>37</v>
      </c>
      <c r="S63" s="2" t="s">
        <v>32</v>
      </c>
      <c r="T63" s="2" t="s">
        <v>33</v>
      </c>
      <c r="U63" s="2">
        <v>8.0</v>
      </c>
      <c r="V63" s="2" t="s">
        <v>60</v>
      </c>
      <c r="Y63" s="2">
        <f>16.8/100</f>
        <v>0.168</v>
      </c>
    </row>
    <row r="64" ht="15.75" customHeight="1">
      <c r="A64" s="2" t="s">
        <v>111</v>
      </c>
      <c r="B64" s="2">
        <v>640.0</v>
      </c>
      <c r="C64" s="2">
        <v>0.0</v>
      </c>
      <c r="D64" s="2">
        <v>640.0</v>
      </c>
      <c r="E64" s="2">
        <v>15.04</v>
      </c>
      <c r="F64" s="2" t="s">
        <v>57</v>
      </c>
      <c r="G64" s="2" t="s">
        <v>112</v>
      </c>
      <c r="L64" s="2"/>
      <c r="O64" s="2" t="s">
        <v>29</v>
      </c>
      <c r="P64" s="2" t="s">
        <v>113</v>
      </c>
      <c r="Q64" s="2" t="s">
        <v>37</v>
      </c>
      <c r="S64" s="2" t="s">
        <v>32</v>
      </c>
      <c r="T64" s="2" t="s">
        <v>33</v>
      </c>
      <c r="U64" s="2">
        <v>8.0</v>
      </c>
      <c r="V64" s="2" t="s">
        <v>60</v>
      </c>
      <c r="Y64" s="2">
        <f>15.1/100</f>
        <v>0.151</v>
      </c>
    </row>
    <row r="65" ht="15.75" customHeight="1">
      <c r="A65" s="2" t="s">
        <v>111</v>
      </c>
      <c r="B65" s="2">
        <v>1120.0</v>
      </c>
      <c r="C65" s="2">
        <v>480.0</v>
      </c>
      <c r="D65" s="2">
        <v>640.0</v>
      </c>
      <c r="E65" s="2">
        <v>15.04</v>
      </c>
      <c r="F65" s="2" t="s">
        <v>57</v>
      </c>
      <c r="G65" s="2" t="s">
        <v>112</v>
      </c>
      <c r="L65" s="2"/>
      <c r="O65" s="2" t="s">
        <v>35</v>
      </c>
      <c r="P65" s="2" t="s">
        <v>113</v>
      </c>
      <c r="Q65" s="2" t="s">
        <v>37</v>
      </c>
      <c r="S65" s="2" t="s">
        <v>32</v>
      </c>
      <c r="T65" s="2" t="s">
        <v>33</v>
      </c>
      <c r="U65" s="2">
        <v>8.0</v>
      </c>
      <c r="V65" s="2" t="s">
        <v>60</v>
      </c>
      <c r="Y65" s="2">
        <f>15.18/100</f>
        <v>0.1518</v>
      </c>
    </row>
    <row r="66" ht="15.75" customHeight="1">
      <c r="A66" s="2" t="s">
        <v>114</v>
      </c>
      <c r="B66" s="2">
        <v>480.0</v>
      </c>
      <c r="C66" s="2">
        <v>480.0</v>
      </c>
      <c r="D66" s="2">
        <v>0.0</v>
      </c>
      <c r="E66" s="2">
        <v>15.04</v>
      </c>
      <c r="F66" s="2" t="s">
        <v>57</v>
      </c>
      <c r="G66" s="2" t="s">
        <v>112</v>
      </c>
      <c r="L66" s="2"/>
      <c r="O66" s="2" t="s">
        <v>30</v>
      </c>
      <c r="P66" s="2" t="s">
        <v>115</v>
      </c>
      <c r="Q66" s="2" t="s">
        <v>31</v>
      </c>
      <c r="S66" s="2" t="s">
        <v>32</v>
      </c>
      <c r="T66" s="2" t="s">
        <v>33</v>
      </c>
      <c r="U66" s="2">
        <v>8.0</v>
      </c>
      <c r="V66" s="2" t="s">
        <v>60</v>
      </c>
      <c r="Y66" s="2">
        <f>22.3/100</f>
        <v>0.223</v>
      </c>
    </row>
    <row r="67" ht="15.75" customHeight="1">
      <c r="A67" s="2" t="s">
        <v>114</v>
      </c>
      <c r="B67" s="2">
        <v>640.0</v>
      </c>
      <c r="C67" s="2">
        <v>0.0</v>
      </c>
      <c r="D67" s="2">
        <v>640.0</v>
      </c>
      <c r="E67" s="2">
        <v>15.04</v>
      </c>
      <c r="F67" s="2" t="s">
        <v>57</v>
      </c>
      <c r="G67" s="2" t="s">
        <v>112</v>
      </c>
      <c r="L67" s="2"/>
      <c r="O67" s="2" t="s">
        <v>29</v>
      </c>
      <c r="P67" s="2" t="s">
        <v>116</v>
      </c>
      <c r="Q67" s="2" t="s">
        <v>31</v>
      </c>
      <c r="S67" s="2" t="s">
        <v>32</v>
      </c>
      <c r="T67" s="2" t="s">
        <v>33</v>
      </c>
      <c r="U67" s="2">
        <v>8.0</v>
      </c>
      <c r="V67" s="2" t="s">
        <v>60</v>
      </c>
      <c r="Y67" s="2">
        <f>20.8/100</f>
        <v>0.208</v>
      </c>
    </row>
    <row r="68" ht="15.75" customHeight="1">
      <c r="A68" s="2" t="s">
        <v>114</v>
      </c>
      <c r="B68" s="2">
        <v>1120.0</v>
      </c>
      <c r="C68" s="2">
        <v>480.0</v>
      </c>
      <c r="D68" s="2">
        <v>640.0</v>
      </c>
      <c r="E68" s="2">
        <v>15.04</v>
      </c>
      <c r="F68" s="2" t="s">
        <v>57</v>
      </c>
      <c r="G68" s="2" t="s">
        <v>112</v>
      </c>
      <c r="L68" s="2"/>
      <c r="O68" s="2" t="s">
        <v>35</v>
      </c>
      <c r="P68" s="2" t="s">
        <v>113</v>
      </c>
      <c r="Q68" s="2" t="s">
        <v>31</v>
      </c>
      <c r="S68" s="2" t="s">
        <v>32</v>
      </c>
      <c r="T68" s="2" t="s">
        <v>33</v>
      </c>
      <c r="U68" s="2">
        <v>8.0</v>
      </c>
      <c r="V68" s="2" t="s">
        <v>60</v>
      </c>
      <c r="Y68" s="2">
        <f>20.54/100</f>
        <v>0.2054</v>
      </c>
    </row>
    <row r="69" ht="15.75" customHeight="1">
      <c r="A69" s="2" t="s">
        <v>117</v>
      </c>
      <c r="B69" s="2">
        <v>284.0</v>
      </c>
      <c r="C69" s="2">
        <v>127.0</v>
      </c>
      <c r="D69" s="2">
        <v>134.0</v>
      </c>
      <c r="F69" s="2" t="s">
        <v>45</v>
      </c>
      <c r="G69" s="2" t="s">
        <v>46</v>
      </c>
      <c r="L69" s="2"/>
      <c r="O69" s="2" t="s">
        <v>35</v>
      </c>
      <c r="P69" s="2">
        <v>2015.0</v>
      </c>
      <c r="Q69" s="2" t="s">
        <v>31</v>
      </c>
      <c r="S69" s="2" t="s">
        <v>32</v>
      </c>
      <c r="T69" s="2" t="s">
        <v>33</v>
      </c>
      <c r="U69" s="2">
        <v>10.0</v>
      </c>
      <c r="V69" s="2" t="s">
        <v>34</v>
      </c>
      <c r="Y69" s="2">
        <f>22.89/100</f>
        <v>0.2289</v>
      </c>
    </row>
    <row r="70" ht="15.75" customHeight="1">
      <c r="A70" s="2" t="s">
        <v>118</v>
      </c>
      <c r="B70" s="2">
        <v>746.0</v>
      </c>
      <c r="C70" s="2">
        <v>358.0</v>
      </c>
      <c r="D70" s="2">
        <v>388.0</v>
      </c>
      <c r="F70" s="2" t="s">
        <v>45</v>
      </c>
      <c r="G70" s="2" t="s">
        <v>46</v>
      </c>
      <c r="L70" s="2"/>
      <c r="O70" s="2" t="s">
        <v>35</v>
      </c>
      <c r="P70" s="2">
        <v>2015.0</v>
      </c>
      <c r="Q70" s="2" t="s">
        <v>31</v>
      </c>
      <c r="S70" s="2" t="s">
        <v>32</v>
      </c>
      <c r="T70" s="2" t="s">
        <v>33</v>
      </c>
      <c r="U70" s="2">
        <v>10.0</v>
      </c>
      <c r="V70" s="2" t="s">
        <v>34</v>
      </c>
      <c r="Y70" s="2">
        <f>19.17/100</f>
        <v>0.1917</v>
      </c>
    </row>
    <row r="71" ht="15.75" customHeight="1">
      <c r="A71" s="2" t="s">
        <v>119</v>
      </c>
      <c r="B71" s="2">
        <v>114.0</v>
      </c>
      <c r="C71" s="2">
        <v>114.0</v>
      </c>
      <c r="D71" s="2">
        <v>0.0</v>
      </c>
      <c r="E71" s="2">
        <v>14.16</v>
      </c>
      <c r="F71" s="2" t="s">
        <v>57</v>
      </c>
      <c r="G71" s="2" t="s">
        <v>120</v>
      </c>
      <c r="L71" s="2"/>
      <c r="O71" s="2" t="s">
        <v>30</v>
      </c>
      <c r="P71" s="2">
        <v>2012.0</v>
      </c>
      <c r="Q71" s="2" t="s">
        <v>31</v>
      </c>
      <c r="S71" s="2" t="s">
        <v>32</v>
      </c>
      <c r="T71" s="2" t="s">
        <v>33</v>
      </c>
      <c r="U71" s="2">
        <v>28.0</v>
      </c>
      <c r="V71" s="2" t="s">
        <v>34</v>
      </c>
      <c r="Y71" s="2">
        <f>4.4/100</f>
        <v>0.044</v>
      </c>
    </row>
    <row r="72" ht="15.75" customHeight="1">
      <c r="A72" s="2" t="s">
        <v>119</v>
      </c>
      <c r="B72" s="2">
        <v>104.0</v>
      </c>
      <c r="C72" s="2">
        <v>0.0</v>
      </c>
      <c r="D72" s="2">
        <v>104.0</v>
      </c>
      <c r="E72" s="2">
        <v>14.16</v>
      </c>
      <c r="F72" s="2" t="s">
        <v>57</v>
      </c>
      <c r="G72" s="2" t="s">
        <v>120</v>
      </c>
      <c r="L72" s="2"/>
      <c r="O72" s="2" t="s">
        <v>29</v>
      </c>
      <c r="P72" s="2">
        <v>2012.0</v>
      </c>
      <c r="Q72" s="2" t="s">
        <v>31</v>
      </c>
      <c r="S72" s="2" t="s">
        <v>32</v>
      </c>
      <c r="T72" s="2" t="s">
        <v>33</v>
      </c>
      <c r="U72" s="2">
        <v>28.0</v>
      </c>
      <c r="V72" s="2" t="s">
        <v>34</v>
      </c>
      <c r="Y72" s="2">
        <f>17.3/100</f>
        <v>0.173</v>
      </c>
    </row>
    <row r="73" ht="15.75" customHeight="1">
      <c r="A73" s="2" t="s">
        <v>119</v>
      </c>
      <c r="B73" s="2">
        <v>218.0</v>
      </c>
      <c r="C73" s="2">
        <v>114.0</v>
      </c>
      <c r="D73" s="2">
        <v>104.0</v>
      </c>
      <c r="E73" s="2">
        <v>14.16</v>
      </c>
      <c r="F73" s="2" t="s">
        <v>57</v>
      </c>
      <c r="G73" s="2" t="s">
        <v>120</v>
      </c>
      <c r="L73" s="2"/>
      <c r="O73" s="2" t="s">
        <v>35</v>
      </c>
      <c r="P73" s="2">
        <v>2012.0</v>
      </c>
      <c r="Q73" s="2" t="s">
        <v>31</v>
      </c>
      <c r="S73" s="2" t="s">
        <v>32</v>
      </c>
      <c r="T73" s="2" t="s">
        <v>33</v>
      </c>
      <c r="U73" s="2">
        <v>28.0</v>
      </c>
      <c r="V73" s="2" t="s">
        <v>34</v>
      </c>
      <c r="Y73" s="2">
        <f>10.6/100</f>
        <v>0.106</v>
      </c>
    </row>
    <row r="74" ht="15.75" customHeight="1">
      <c r="A74" s="2" t="s">
        <v>121</v>
      </c>
      <c r="B74" s="2">
        <v>4339.0</v>
      </c>
      <c r="C74" s="2">
        <v>4330.0</v>
      </c>
      <c r="D74" s="2">
        <v>0.0</v>
      </c>
      <c r="E74" s="2">
        <v>15.37</v>
      </c>
      <c r="F74" s="2" t="s">
        <v>45</v>
      </c>
      <c r="G74" s="2" t="s">
        <v>46</v>
      </c>
      <c r="L74" s="2"/>
      <c r="O74" s="2" t="s">
        <v>30</v>
      </c>
      <c r="P74" s="2" t="s">
        <v>122</v>
      </c>
      <c r="Q74" s="2" t="s">
        <v>31</v>
      </c>
      <c r="R74" s="2">
        <v>0.982</v>
      </c>
      <c r="S74" s="2" t="s">
        <v>32</v>
      </c>
      <c r="T74" s="2" t="s">
        <v>33</v>
      </c>
      <c r="U74" s="2">
        <v>7.0</v>
      </c>
      <c r="V74" s="2" t="s">
        <v>48</v>
      </c>
      <c r="W74" s="2">
        <f>4.9/100</f>
        <v>0.049</v>
      </c>
      <c r="X74" s="2">
        <f>6.8/100</f>
        <v>0.068</v>
      </c>
      <c r="Y74" s="2">
        <f>14.1/100</f>
        <v>0.141</v>
      </c>
      <c r="Z74" s="2">
        <f>2.4/100</f>
        <v>0.024</v>
      </c>
    </row>
    <row r="75" ht="15.75" customHeight="1">
      <c r="A75" s="2" t="s">
        <v>121</v>
      </c>
      <c r="B75" s="2">
        <v>4407.0</v>
      </c>
      <c r="C75" s="2">
        <v>0.0</v>
      </c>
      <c r="D75" s="2">
        <v>4407.0</v>
      </c>
      <c r="E75" s="2">
        <v>15.37</v>
      </c>
      <c r="F75" s="2" t="s">
        <v>45</v>
      </c>
      <c r="G75" s="2" t="s">
        <v>46</v>
      </c>
      <c r="L75" s="2"/>
      <c r="O75" s="2" t="s">
        <v>29</v>
      </c>
      <c r="P75" s="2" t="s">
        <v>123</v>
      </c>
      <c r="Q75" s="2" t="s">
        <v>31</v>
      </c>
      <c r="R75" s="2">
        <v>0.982</v>
      </c>
      <c r="S75" s="2" t="s">
        <v>32</v>
      </c>
      <c r="T75" s="2" t="s">
        <v>33</v>
      </c>
      <c r="U75" s="2">
        <v>7.0</v>
      </c>
      <c r="V75" s="2" t="s">
        <v>34</v>
      </c>
      <c r="W75" s="2">
        <f>3.3/100</f>
        <v>0.033</v>
      </c>
      <c r="X75" s="2">
        <f>5.3/100</f>
        <v>0.053</v>
      </c>
      <c r="Y75" s="2">
        <f>11.8/100</f>
        <v>0.118</v>
      </c>
      <c r="Z75" s="2">
        <f>3.2/100</f>
        <v>0.032</v>
      </c>
    </row>
    <row r="76" ht="15.75" customHeight="1">
      <c r="A76" s="2" t="s">
        <v>121</v>
      </c>
      <c r="B76" s="2">
        <v>8746.0</v>
      </c>
      <c r="C76" s="2">
        <v>4339.0</v>
      </c>
      <c r="D76" s="2">
        <v>4407.0</v>
      </c>
      <c r="E76" s="2">
        <v>15.37</v>
      </c>
      <c r="F76" s="2" t="s">
        <v>45</v>
      </c>
      <c r="G76" s="2" t="s">
        <v>46</v>
      </c>
      <c r="L76" s="2"/>
      <c r="O76" s="2" t="s">
        <v>35</v>
      </c>
      <c r="P76" s="2" t="s">
        <v>124</v>
      </c>
      <c r="Q76" s="2" t="s">
        <v>31</v>
      </c>
      <c r="R76" s="2">
        <v>0.982</v>
      </c>
      <c r="S76" s="2" t="s">
        <v>32</v>
      </c>
      <c r="T76" s="2" t="s">
        <v>33</v>
      </c>
      <c r="U76" s="2">
        <v>7.0</v>
      </c>
      <c r="V76" s="2" t="s">
        <v>34</v>
      </c>
      <c r="W76" s="2">
        <f>4.1/100</f>
        <v>0.041</v>
      </c>
      <c r="X76" s="2">
        <f>6/100</f>
        <v>0.06</v>
      </c>
      <c r="Y76" s="2">
        <f>12.9/100</f>
        <v>0.129</v>
      </c>
      <c r="Z76" s="2">
        <f>2.8/100</f>
        <v>0.028</v>
      </c>
    </row>
    <row r="77" ht="15.75" customHeight="1">
      <c r="A77" s="2" t="s">
        <v>125</v>
      </c>
      <c r="B77" s="2">
        <v>497.0</v>
      </c>
      <c r="C77" s="2">
        <v>497.0</v>
      </c>
      <c r="D77" s="2">
        <v>0.0</v>
      </c>
      <c r="E77" s="2">
        <v>14.3</v>
      </c>
      <c r="F77" s="2" t="s">
        <v>45</v>
      </c>
      <c r="G77" s="2" t="s">
        <v>46</v>
      </c>
      <c r="L77" s="2"/>
      <c r="O77" s="2" t="s">
        <v>30</v>
      </c>
      <c r="P77" s="2" t="s">
        <v>126</v>
      </c>
      <c r="Q77" s="2" t="s">
        <v>31</v>
      </c>
      <c r="S77" s="2" t="s">
        <v>32</v>
      </c>
      <c r="T77" s="2" t="s">
        <v>33</v>
      </c>
      <c r="U77" s="2">
        <v>12.0</v>
      </c>
      <c r="V77" s="2" t="s">
        <v>48</v>
      </c>
      <c r="W77" s="2">
        <f>1.8/100</f>
        <v>0.018</v>
      </c>
      <c r="X77" s="2">
        <f>18.2/100</f>
        <v>0.182</v>
      </c>
      <c r="Y77" s="2">
        <f>6.2/100</f>
        <v>0.062</v>
      </c>
      <c r="Z77" s="2">
        <f>3.6/100</f>
        <v>0.036</v>
      </c>
    </row>
    <row r="78" ht="15.75" customHeight="1">
      <c r="A78" s="2" t="s">
        <v>125</v>
      </c>
      <c r="B78" s="2">
        <v>522.0</v>
      </c>
      <c r="C78" s="2">
        <v>0.0</v>
      </c>
      <c r="D78" s="2">
        <v>522.0</v>
      </c>
      <c r="E78" s="2">
        <v>14.3</v>
      </c>
      <c r="F78" s="2" t="s">
        <v>45</v>
      </c>
      <c r="G78" s="2" t="s">
        <v>46</v>
      </c>
      <c r="L78" s="2"/>
      <c r="O78" s="2" t="s">
        <v>29</v>
      </c>
      <c r="P78" s="2" t="s">
        <v>127</v>
      </c>
      <c r="Q78" s="2" t="s">
        <v>31</v>
      </c>
      <c r="S78" s="2" t="s">
        <v>32</v>
      </c>
      <c r="T78" s="2" t="s">
        <v>33</v>
      </c>
      <c r="U78" s="2">
        <v>12.0</v>
      </c>
      <c r="V78" s="2" t="s">
        <v>34</v>
      </c>
      <c r="W78" s="2">
        <f t="shared" ref="W78:W79" si="3">1.9/100</f>
        <v>0.019</v>
      </c>
      <c r="X78" s="2">
        <f>29.4/100</f>
        <v>0.294</v>
      </c>
      <c r="Y78" s="2">
        <f>4/100</f>
        <v>0.04</v>
      </c>
      <c r="Z78" s="2">
        <f>1.7/100</f>
        <v>0.017</v>
      </c>
    </row>
    <row r="79" ht="15.75" customHeight="1">
      <c r="A79" s="2" t="s">
        <v>125</v>
      </c>
      <c r="B79" s="2">
        <v>1019.0</v>
      </c>
      <c r="C79" s="2">
        <v>497.0</v>
      </c>
      <c r="D79" s="2">
        <v>522.0</v>
      </c>
      <c r="E79" s="2">
        <v>14.3</v>
      </c>
      <c r="F79" s="2" t="s">
        <v>45</v>
      </c>
      <c r="G79" s="2" t="s">
        <v>46</v>
      </c>
      <c r="L79" s="2"/>
      <c r="O79" s="2" t="s">
        <v>35</v>
      </c>
      <c r="P79" s="2" t="s">
        <v>128</v>
      </c>
      <c r="Q79" s="2" t="s">
        <v>31</v>
      </c>
      <c r="S79" s="2" t="s">
        <v>32</v>
      </c>
      <c r="T79" s="2" t="s">
        <v>33</v>
      </c>
      <c r="U79" s="2">
        <v>12.0</v>
      </c>
      <c r="V79" s="2" t="s">
        <v>34</v>
      </c>
      <c r="W79" s="2">
        <f t="shared" si="3"/>
        <v>0.019</v>
      </c>
      <c r="X79" s="2">
        <f>23.7/100</f>
        <v>0.237</v>
      </c>
      <c r="Y79" s="2">
        <f>5.1/100</f>
        <v>0.051</v>
      </c>
      <c r="Z79" s="2">
        <f>2.6/100</f>
        <v>0.026</v>
      </c>
    </row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ataValidations>
    <dataValidation type="list" allowBlank="1" showErrorMessage="1" sqref="L2:L79">
      <formula1>"Femenino,Masculino,Ambos"</formula1>
    </dataValidation>
    <dataValidation type="list" allowBlank="1" showErrorMessage="1" sqref="V2:V79">
      <formula1>"Estandarizado,Estandarizado ,Propio"</formula1>
    </dataValidation>
    <dataValidation type="list" allowBlank="1" showErrorMessage="1" sqref="Q2:Q79">
      <formula1>"Toda la vida,Momento específico,Toda a vida"</formula1>
    </dataValidation>
    <dataValidation type="list" allowBlank="1" showErrorMessage="1" sqref="F2:F79">
      <formula1>"Europa,América del Norte,Asia,América del Sur,África,Australia"</formula1>
    </dataValidation>
    <dataValidation type="list" allowBlank="1" showErrorMessage="1" sqref="S2:S79">
      <formula1>"Escuela,Específica,Población general"</formula1>
    </dataValidation>
    <dataValidation type="list" allowBlank="1" showErrorMessage="1" sqref="T2:T79">
      <formula1>"Autoinforme,Entrevistador"</formula1>
    </dataValidation>
    <dataValidation type="list" allowBlank="1" showErrorMessage="1" sqref="O2:O79">
      <formula1>"Masculino,Femenino,Ambos"</formula1>
    </dataValidation>
    <dataValidation type="list" allowBlank="1" showErrorMessage="1" sqref="G2:G79">
      <formula1>"Croacia,EEUU,China,Colombia,Alemania,España,Finlandia,Israel,Suiza,Ghana,Sri Lanka,Australia,India,Libano,México,Belgica,Suriname,Perú"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30" width="10.56"/>
  </cols>
  <sheetData>
    <row r="1" ht="15.75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129</v>
      </c>
      <c r="X1" s="4" t="s">
        <v>22</v>
      </c>
      <c r="Y1" s="4" t="s">
        <v>130</v>
      </c>
      <c r="Z1" s="4" t="s">
        <v>23</v>
      </c>
      <c r="AA1" s="4" t="s">
        <v>131</v>
      </c>
      <c r="AB1" s="4" t="s">
        <v>24</v>
      </c>
      <c r="AC1" s="4" t="s">
        <v>132</v>
      </c>
      <c r="AD1" s="4" t="s">
        <v>25</v>
      </c>
    </row>
    <row r="2" ht="15.75" customHeight="1">
      <c r="A2" s="5" t="s">
        <v>26</v>
      </c>
      <c r="B2" s="5">
        <v>1623.0</v>
      </c>
      <c r="C2" s="5">
        <v>0.0</v>
      </c>
      <c r="D2" s="5">
        <v>1623.0</v>
      </c>
      <c r="E2" s="5">
        <v>13.41</v>
      </c>
      <c r="F2" s="5" t="s">
        <v>27</v>
      </c>
      <c r="G2" s="5" t="s">
        <v>28</v>
      </c>
      <c r="H2" s="5">
        <v>59.28</v>
      </c>
      <c r="I2" s="5">
        <v>7.15</v>
      </c>
      <c r="J2" s="5">
        <v>31.3</v>
      </c>
      <c r="K2" s="5"/>
      <c r="L2" s="5" t="s">
        <v>30</v>
      </c>
      <c r="M2" s="5">
        <v>45.6</v>
      </c>
      <c r="N2" s="5">
        <v>3.64</v>
      </c>
      <c r="O2" s="5" t="s">
        <v>29</v>
      </c>
      <c r="P2" s="5">
        <v>2011.0</v>
      </c>
      <c r="Q2" s="5" t="s">
        <v>31</v>
      </c>
      <c r="R2" s="5">
        <v>0.87</v>
      </c>
      <c r="S2" s="5" t="s">
        <v>32</v>
      </c>
      <c r="T2" s="5" t="s">
        <v>33</v>
      </c>
      <c r="U2" s="5">
        <v>52.0</v>
      </c>
      <c r="V2" s="5" t="s">
        <v>34</v>
      </c>
      <c r="W2" s="6">
        <f t="shared" ref="W2:W3" si="1">B2*X2</f>
        <v>860.19</v>
      </c>
      <c r="X2" s="5">
        <v>0.53</v>
      </c>
      <c r="Y2" s="6">
        <f t="shared" ref="Y2:Y6" si="2">B2*Z2</f>
        <v>175.284</v>
      </c>
      <c r="Z2" s="5">
        <v>0.108</v>
      </c>
      <c r="AA2" s="6">
        <f t="shared" ref="AA2:AA12" si="3">B2*AB2</f>
        <v>210.99</v>
      </c>
      <c r="AB2" s="5">
        <v>0.13</v>
      </c>
      <c r="AC2" s="5"/>
      <c r="AD2" s="5"/>
    </row>
    <row r="3" ht="15.75" customHeight="1">
      <c r="A3" s="5" t="s">
        <v>36</v>
      </c>
      <c r="B3" s="5">
        <v>1623.0</v>
      </c>
      <c r="C3" s="5">
        <v>0.0</v>
      </c>
      <c r="D3" s="5">
        <v>1623.0</v>
      </c>
      <c r="E3" s="5">
        <v>13.41</v>
      </c>
      <c r="F3" s="5" t="s">
        <v>27</v>
      </c>
      <c r="G3" s="5" t="s">
        <v>28</v>
      </c>
      <c r="H3" s="5">
        <v>74.64</v>
      </c>
      <c r="I3" s="5">
        <v>7.26</v>
      </c>
      <c r="J3" s="5">
        <v>15.01</v>
      </c>
      <c r="K3" s="5"/>
      <c r="L3" s="5" t="s">
        <v>30</v>
      </c>
      <c r="M3" s="5">
        <v>45.6</v>
      </c>
      <c r="N3" s="5">
        <v>3.64</v>
      </c>
      <c r="O3" s="5" t="s">
        <v>29</v>
      </c>
      <c r="P3" s="5">
        <v>2011.0</v>
      </c>
      <c r="Q3" s="5" t="s">
        <v>37</v>
      </c>
      <c r="R3" s="5">
        <v>0.87</v>
      </c>
      <c r="S3" s="5" t="s">
        <v>32</v>
      </c>
      <c r="T3" s="5" t="s">
        <v>33</v>
      </c>
      <c r="U3" s="5">
        <v>52.0</v>
      </c>
      <c r="V3" s="5" t="s">
        <v>34</v>
      </c>
      <c r="W3" s="6">
        <f t="shared" si="1"/>
        <v>56.805</v>
      </c>
      <c r="X3" s="5">
        <v>0.035</v>
      </c>
      <c r="Y3" s="6">
        <f t="shared" si="2"/>
        <v>118.479</v>
      </c>
      <c r="Z3" s="5">
        <v>0.073</v>
      </c>
      <c r="AA3" s="6">
        <f t="shared" si="3"/>
        <v>141.201</v>
      </c>
      <c r="AB3" s="5">
        <v>0.087</v>
      </c>
      <c r="AC3" s="5"/>
      <c r="AD3" s="5"/>
    </row>
    <row r="4" ht="15.75" customHeight="1">
      <c r="A4" s="5" t="s">
        <v>50</v>
      </c>
      <c r="B4" s="5">
        <v>8568.0</v>
      </c>
      <c r="C4" s="5">
        <v>0.0</v>
      </c>
      <c r="D4" s="5">
        <v>8568.0</v>
      </c>
      <c r="E4" s="5">
        <v>15.87</v>
      </c>
      <c r="F4" s="5" t="s">
        <v>45</v>
      </c>
      <c r="G4" s="5" t="s">
        <v>46</v>
      </c>
      <c r="H4" s="5"/>
      <c r="I4" s="5"/>
      <c r="J4" s="5"/>
      <c r="K4" s="5"/>
      <c r="L4" s="5"/>
      <c r="M4" s="5"/>
      <c r="N4" s="5"/>
      <c r="O4" s="5" t="s">
        <v>29</v>
      </c>
      <c r="P4" s="5" t="s">
        <v>51</v>
      </c>
      <c r="Q4" s="5" t="s">
        <v>31</v>
      </c>
      <c r="R4" s="5">
        <v>0.96</v>
      </c>
      <c r="S4" s="5" t="s">
        <v>32</v>
      </c>
      <c r="T4" s="5" t="s">
        <v>33</v>
      </c>
      <c r="U4" s="5">
        <v>12.0</v>
      </c>
      <c r="V4" s="5" t="s">
        <v>34</v>
      </c>
      <c r="W4" s="6"/>
      <c r="X4" s="5"/>
      <c r="Y4" s="6">
        <f t="shared" si="2"/>
        <v>154.224</v>
      </c>
      <c r="Z4" s="5">
        <v>0.018</v>
      </c>
      <c r="AA4" s="6">
        <f t="shared" si="3"/>
        <v>548.352</v>
      </c>
      <c r="AB4" s="5">
        <v>0.064</v>
      </c>
      <c r="AC4" s="6">
        <f t="shared" ref="AC4:AC5" si="4">B4*AD4</f>
        <v>162.792</v>
      </c>
      <c r="AD4" s="5">
        <v>0.019</v>
      </c>
    </row>
    <row r="5" ht="15.75" customHeight="1">
      <c r="A5" s="5" t="s">
        <v>53</v>
      </c>
      <c r="B5" s="5">
        <v>8568.0</v>
      </c>
      <c r="C5" s="5">
        <v>0.0</v>
      </c>
      <c r="D5" s="5">
        <v>8568.0</v>
      </c>
      <c r="E5" s="5">
        <v>15.87</v>
      </c>
      <c r="F5" s="5" t="s">
        <v>45</v>
      </c>
      <c r="G5" s="5" t="s">
        <v>46</v>
      </c>
      <c r="H5" s="5"/>
      <c r="I5" s="5"/>
      <c r="J5" s="5"/>
      <c r="K5" s="5"/>
      <c r="L5" s="5"/>
      <c r="M5" s="5"/>
      <c r="N5" s="5"/>
      <c r="O5" s="5" t="s">
        <v>29</v>
      </c>
      <c r="P5" s="5" t="s">
        <v>54</v>
      </c>
      <c r="Q5" s="5" t="s">
        <v>37</v>
      </c>
      <c r="R5" s="5">
        <v>0.96</v>
      </c>
      <c r="S5" s="5" t="s">
        <v>32</v>
      </c>
      <c r="T5" s="5" t="s">
        <v>33</v>
      </c>
      <c r="U5" s="5">
        <v>12.0</v>
      </c>
      <c r="V5" s="5" t="s">
        <v>34</v>
      </c>
      <c r="W5" s="6"/>
      <c r="X5" s="5"/>
      <c r="Y5" s="6">
        <f t="shared" si="2"/>
        <v>119.952</v>
      </c>
      <c r="Z5" s="5">
        <v>0.014</v>
      </c>
      <c r="AA5" s="6">
        <f t="shared" si="3"/>
        <v>394.128</v>
      </c>
      <c r="AB5" s="5">
        <v>0.046</v>
      </c>
      <c r="AC5" s="6">
        <f t="shared" si="4"/>
        <v>137.088</v>
      </c>
      <c r="AD5" s="5">
        <v>0.016</v>
      </c>
    </row>
    <row r="6" ht="15.75" customHeight="1">
      <c r="A6" s="5" t="s">
        <v>63</v>
      </c>
      <c r="B6" s="5">
        <v>341.0</v>
      </c>
      <c r="C6" s="5">
        <v>191.0</v>
      </c>
      <c r="D6" s="5">
        <v>150.0</v>
      </c>
      <c r="E6" s="5">
        <v>15.67</v>
      </c>
      <c r="F6" s="5" t="s">
        <v>27</v>
      </c>
      <c r="G6" s="5" t="s">
        <v>64</v>
      </c>
      <c r="H6" s="5">
        <v>86.0</v>
      </c>
      <c r="I6" s="5">
        <v>27.0</v>
      </c>
      <c r="J6" s="5"/>
      <c r="K6" s="5">
        <v>13.8</v>
      </c>
      <c r="L6" s="5"/>
      <c r="M6" s="5"/>
      <c r="N6" s="5"/>
      <c r="O6" s="5" t="s">
        <v>29</v>
      </c>
      <c r="P6" s="5">
        <v>2010.0</v>
      </c>
      <c r="Q6" s="5" t="s">
        <v>37</v>
      </c>
      <c r="R6" s="5">
        <v>0.96</v>
      </c>
      <c r="S6" s="5" t="s">
        <v>42</v>
      </c>
      <c r="T6" s="5" t="s">
        <v>43</v>
      </c>
      <c r="U6" s="5">
        <v>24.0</v>
      </c>
      <c r="V6" s="5" t="s">
        <v>60</v>
      </c>
      <c r="W6" s="6">
        <f>B6*X6</f>
        <v>10.571</v>
      </c>
      <c r="X6" s="5">
        <v>0.031</v>
      </c>
      <c r="Y6" s="6">
        <f t="shared" si="2"/>
        <v>1.705</v>
      </c>
      <c r="Z6" s="5">
        <v>0.005</v>
      </c>
      <c r="AA6" s="6">
        <f t="shared" si="3"/>
        <v>0.682</v>
      </c>
      <c r="AB6" s="5">
        <v>0.002</v>
      </c>
      <c r="AC6" s="5"/>
      <c r="AD6" s="5"/>
    </row>
    <row r="7" ht="15.75" customHeight="1">
      <c r="A7" s="5" t="s">
        <v>65</v>
      </c>
      <c r="B7" s="5">
        <v>8.0</v>
      </c>
      <c r="C7" s="5">
        <v>0.0</v>
      </c>
      <c r="D7" s="5">
        <v>8.0</v>
      </c>
      <c r="E7" s="5">
        <v>16.38</v>
      </c>
      <c r="F7" s="5" t="s">
        <v>27</v>
      </c>
      <c r="G7" s="5" t="s">
        <v>66</v>
      </c>
      <c r="H7" s="5">
        <v>66.7</v>
      </c>
      <c r="I7" s="5"/>
      <c r="J7" s="5">
        <v>33.3</v>
      </c>
      <c r="K7" s="5"/>
      <c r="L7" s="5" t="s">
        <v>30</v>
      </c>
      <c r="M7" s="7">
        <v>1.0</v>
      </c>
      <c r="N7" s="5"/>
      <c r="O7" s="5" t="s">
        <v>29</v>
      </c>
      <c r="P7" s="5"/>
      <c r="Q7" s="5" t="s">
        <v>37</v>
      </c>
      <c r="R7" s="5">
        <v>0.71</v>
      </c>
      <c r="S7" s="5" t="s">
        <v>42</v>
      </c>
      <c r="T7" s="5" t="s">
        <v>43</v>
      </c>
      <c r="U7" s="5">
        <v>17.0</v>
      </c>
      <c r="V7" s="5" t="s">
        <v>34</v>
      </c>
      <c r="W7" s="6"/>
      <c r="X7" s="5"/>
      <c r="Y7" s="6"/>
      <c r="Z7" s="5"/>
      <c r="AA7" s="6">
        <f t="shared" si="3"/>
        <v>3</v>
      </c>
      <c r="AB7" s="5">
        <v>0.375</v>
      </c>
      <c r="AC7" s="5"/>
      <c r="AD7" s="5"/>
    </row>
    <row r="8" ht="15.75" customHeight="1">
      <c r="A8" s="5" t="s">
        <v>67</v>
      </c>
      <c r="B8" s="5">
        <v>50.0</v>
      </c>
      <c r="C8" s="5">
        <v>0.0</v>
      </c>
      <c r="D8" s="5">
        <v>50.0</v>
      </c>
      <c r="E8" s="5">
        <v>15.8</v>
      </c>
      <c r="F8" s="5" t="s">
        <v>27</v>
      </c>
      <c r="G8" s="5" t="s">
        <v>64</v>
      </c>
      <c r="H8" s="5"/>
      <c r="I8" s="5"/>
      <c r="J8" s="5"/>
      <c r="K8" s="5"/>
      <c r="L8" s="5"/>
      <c r="M8" s="5"/>
      <c r="N8" s="5"/>
      <c r="O8" s="5" t="s">
        <v>29</v>
      </c>
      <c r="P8" s="5"/>
      <c r="Q8" s="5" t="s">
        <v>31</v>
      </c>
      <c r="R8" s="5"/>
      <c r="S8" s="5" t="s">
        <v>42</v>
      </c>
      <c r="T8" s="5" t="s">
        <v>33</v>
      </c>
      <c r="U8" s="5">
        <v>5.0</v>
      </c>
      <c r="V8" s="5" t="s">
        <v>34</v>
      </c>
      <c r="W8" s="6"/>
      <c r="X8" s="5"/>
      <c r="Y8" s="6"/>
      <c r="Z8" s="5"/>
      <c r="AA8" s="6">
        <f t="shared" si="3"/>
        <v>4</v>
      </c>
      <c r="AB8" s="5">
        <v>0.08</v>
      </c>
      <c r="AC8" s="5"/>
      <c r="AD8" s="5"/>
    </row>
    <row r="9" ht="15.75" customHeight="1">
      <c r="A9" s="5" t="s">
        <v>68</v>
      </c>
      <c r="B9" s="5">
        <v>27.0</v>
      </c>
      <c r="C9" s="5">
        <v>0.0</v>
      </c>
      <c r="D9" s="5">
        <v>27.0</v>
      </c>
      <c r="E9" s="5">
        <v>16.1</v>
      </c>
      <c r="F9" s="5" t="s">
        <v>27</v>
      </c>
      <c r="G9" s="5" t="s">
        <v>64</v>
      </c>
      <c r="H9" s="5"/>
      <c r="I9" s="5"/>
      <c r="J9" s="5"/>
      <c r="K9" s="5"/>
      <c r="L9" s="5"/>
      <c r="M9" s="5"/>
      <c r="N9" s="5"/>
      <c r="O9" s="5" t="s">
        <v>29</v>
      </c>
      <c r="P9" s="5"/>
      <c r="Q9" s="5" t="s">
        <v>31</v>
      </c>
      <c r="R9" s="5"/>
      <c r="S9" s="5" t="s">
        <v>42</v>
      </c>
      <c r="T9" s="5" t="s">
        <v>33</v>
      </c>
      <c r="U9" s="5">
        <v>5.0</v>
      </c>
      <c r="V9" s="5" t="s">
        <v>34</v>
      </c>
      <c r="W9" s="6"/>
      <c r="X9" s="5"/>
      <c r="Y9" s="6"/>
      <c r="Z9" s="5"/>
      <c r="AA9" s="6">
        <f t="shared" si="3"/>
        <v>7.02</v>
      </c>
      <c r="AB9" s="5">
        <v>0.26</v>
      </c>
      <c r="AC9" s="5"/>
      <c r="AD9" s="5"/>
    </row>
    <row r="10" ht="15.75" customHeight="1">
      <c r="A10" s="5" t="s">
        <v>69</v>
      </c>
      <c r="B10" s="5">
        <v>44.0</v>
      </c>
      <c r="C10" s="5">
        <v>0.0</v>
      </c>
      <c r="D10" s="5">
        <v>44.0</v>
      </c>
      <c r="E10" s="5">
        <v>15.7</v>
      </c>
      <c r="F10" s="5" t="s">
        <v>27</v>
      </c>
      <c r="G10" s="5" t="s">
        <v>64</v>
      </c>
      <c r="H10" s="5"/>
      <c r="I10" s="5"/>
      <c r="J10" s="5"/>
      <c r="K10" s="5"/>
      <c r="L10" s="5"/>
      <c r="M10" s="5"/>
      <c r="N10" s="5"/>
      <c r="O10" s="5" t="s">
        <v>29</v>
      </c>
      <c r="P10" s="5"/>
      <c r="Q10" s="5" t="s">
        <v>31</v>
      </c>
      <c r="R10" s="5"/>
      <c r="S10" s="5" t="s">
        <v>42</v>
      </c>
      <c r="T10" s="5" t="s">
        <v>33</v>
      </c>
      <c r="U10" s="5">
        <v>5.0</v>
      </c>
      <c r="V10" s="5" t="s">
        <v>34</v>
      </c>
      <c r="W10" s="6"/>
      <c r="X10" s="5"/>
      <c r="Y10" s="6"/>
      <c r="Z10" s="5"/>
      <c r="AA10" s="6">
        <f t="shared" si="3"/>
        <v>0.88</v>
      </c>
      <c r="AB10" s="5">
        <v>0.02</v>
      </c>
      <c r="AC10" s="5"/>
      <c r="AD10" s="5"/>
    </row>
    <row r="11" ht="15.75" customHeight="1">
      <c r="A11" s="5" t="s">
        <v>74</v>
      </c>
      <c r="B11" s="5">
        <v>346.0</v>
      </c>
      <c r="C11" s="5">
        <v>0.0</v>
      </c>
      <c r="D11" s="5">
        <v>346.0</v>
      </c>
      <c r="E11" s="5">
        <v>12.73</v>
      </c>
      <c r="F11" s="5" t="s">
        <v>45</v>
      </c>
      <c r="G11" s="5" t="s">
        <v>46</v>
      </c>
      <c r="H11" s="5"/>
      <c r="I11" s="5"/>
      <c r="J11" s="5"/>
      <c r="K11" s="5"/>
      <c r="L11" s="5"/>
      <c r="M11" s="5"/>
      <c r="N11" s="5"/>
      <c r="O11" s="5" t="s">
        <v>29</v>
      </c>
      <c r="P11" s="5">
        <v>2009.0</v>
      </c>
      <c r="Q11" s="5" t="s">
        <v>31</v>
      </c>
      <c r="R11" s="5">
        <v>0.49</v>
      </c>
      <c r="S11" s="5" t="s">
        <v>32</v>
      </c>
      <c r="T11" s="5" t="s">
        <v>33</v>
      </c>
      <c r="U11" s="5">
        <v>12.0</v>
      </c>
      <c r="V11" s="5" t="s">
        <v>34</v>
      </c>
      <c r="W11" s="6">
        <f>B11*X11</f>
        <v>31.832</v>
      </c>
      <c r="X11" s="5">
        <v>0.092</v>
      </c>
      <c r="Y11" s="6">
        <f>B11*Z11</f>
        <v>43.596</v>
      </c>
      <c r="Z11" s="5">
        <v>0.126</v>
      </c>
      <c r="AA11" s="6">
        <f t="shared" si="3"/>
        <v>49.132</v>
      </c>
      <c r="AB11" s="5">
        <v>0.142</v>
      </c>
      <c r="AC11" s="5"/>
      <c r="AD11" s="5"/>
    </row>
    <row r="12" ht="15.75" customHeight="1">
      <c r="A12" s="5" t="s">
        <v>75</v>
      </c>
      <c r="B12" s="5">
        <v>443.0</v>
      </c>
      <c r="C12" s="5">
        <v>0.0</v>
      </c>
      <c r="D12" s="5">
        <v>443.0</v>
      </c>
      <c r="E12" s="5"/>
      <c r="F12" s="5" t="s">
        <v>45</v>
      </c>
      <c r="G12" s="5" t="s">
        <v>76</v>
      </c>
      <c r="H12" s="5"/>
      <c r="I12" s="5"/>
      <c r="J12" s="5"/>
      <c r="K12" s="5"/>
      <c r="L12" s="5"/>
      <c r="M12" s="5"/>
      <c r="N12" s="5"/>
      <c r="O12" s="5" t="s">
        <v>29</v>
      </c>
      <c r="P12" s="5" t="s">
        <v>79</v>
      </c>
      <c r="Q12" s="5" t="s">
        <v>37</v>
      </c>
      <c r="R12" s="5">
        <v>0.68</v>
      </c>
      <c r="S12" s="5" t="s">
        <v>78</v>
      </c>
      <c r="T12" s="5" t="s">
        <v>43</v>
      </c>
      <c r="U12" s="5"/>
      <c r="V12" s="5"/>
      <c r="W12" s="6"/>
      <c r="X12" s="5"/>
      <c r="Y12" s="6"/>
      <c r="Z12" s="5"/>
      <c r="AA12" s="6">
        <f t="shared" si="3"/>
        <v>23.922</v>
      </c>
      <c r="AB12" s="5">
        <v>0.054</v>
      </c>
      <c r="AC12" s="5"/>
      <c r="AD12" s="5"/>
    </row>
    <row r="13" ht="15.75" customHeight="1">
      <c r="A13" s="5" t="s">
        <v>80</v>
      </c>
      <c r="B13" s="5">
        <v>3236.0</v>
      </c>
      <c r="C13" s="5">
        <v>0.0</v>
      </c>
      <c r="D13" s="5">
        <v>3236.0</v>
      </c>
      <c r="E13" s="5">
        <v>15.5</v>
      </c>
      <c r="F13" s="5" t="s">
        <v>27</v>
      </c>
      <c r="G13" s="5" t="s">
        <v>81</v>
      </c>
      <c r="H13" s="5">
        <v>36.64</v>
      </c>
      <c r="I13" s="5">
        <v>4.31</v>
      </c>
      <c r="J13" s="5">
        <v>54.66</v>
      </c>
      <c r="K13" s="5">
        <v>20.4</v>
      </c>
      <c r="L13" s="5" t="s">
        <v>30</v>
      </c>
      <c r="M13" s="5">
        <v>97.0</v>
      </c>
      <c r="N13" s="5">
        <v>8.6</v>
      </c>
      <c r="O13" s="5" t="s">
        <v>29</v>
      </c>
      <c r="P13" s="5" t="s">
        <v>52</v>
      </c>
      <c r="Q13" s="5" t="s">
        <v>31</v>
      </c>
      <c r="R13" s="5">
        <v>0.9</v>
      </c>
      <c r="S13" s="5" t="s">
        <v>32</v>
      </c>
      <c r="T13" s="5" t="s">
        <v>33</v>
      </c>
      <c r="U13" s="5">
        <v>15.0</v>
      </c>
      <c r="V13" s="5" t="s">
        <v>60</v>
      </c>
      <c r="W13" s="6">
        <f t="shared" ref="W13:W14" si="5">B13*X13</f>
        <v>482.164</v>
      </c>
      <c r="X13" s="5">
        <v>0.149</v>
      </c>
      <c r="Y13" s="6">
        <f t="shared" ref="Y13:Y14" si="6">B13*Z13</f>
        <v>1135.836</v>
      </c>
      <c r="Z13" s="5">
        <v>0.351</v>
      </c>
      <c r="AA13" s="6"/>
      <c r="AB13" s="5"/>
      <c r="AC13" s="6">
        <f t="shared" ref="AC13:AC14" si="7">B13*AD13</f>
        <v>80.9</v>
      </c>
      <c r="AD13" s="5">
        <v>0.025</v>
      </c>
    </row>
    <row r="14" ht="15.75" customHeight="1">
      <c r="A14" s="5" t="s">
        <v>82</v>
      </c>
      <c r="B14" s="5">
        <v>3236.0</v>
      </c>
      <c r="C14" s="5">
        <v>0.0</v>
      </c>
      <c r="D14" s="5">
        <v>3236.0</v>
      </c>
      <c r="E14" s="5">
        <v>15.5</v>
      </c>
      <c r="F14" s="5" t="s">
        <v>27</v>
      </c>
      <c r="G14" s="5" t="s">
        <v>81</v>
      </c>
      <c r="H14" s="5">
        <v>36.64</v>
      </c>
      <c r="I14" s="5">
        <v>4.31</v>
      </c>
      <c r="J14" s="5">
        <v>54.66</v>
      </c>
      <c r="K14" s="5">
        <v>20.4</v>
      </c>
      <c r="L14" s="5" t="s">
        <v>30</v>
      </c>
      <c r="M14" s="5">
        <v>97.0</v>
      </c>
      <c r="N14" s="5">
        <v>8.6</v>
      </c>
      <c r="O14" s="5" t="s">
        <v>29</v>
      </c>
      <c r="P14" s="5" t="s">
        <v>51</v>
      </c>
      <c r="Q14" s="5" t="s">
        <v>37</v>
      </c>
      <c r="R14" s="5">
        <v>0.9</v>
      </c>
      <c r="S14" s="5" t="s">
        <v>32</v>
      </c>
      <c r="T14" s="5" t="s">
        <v>33</v>
      </c>
      <c r="U14" s="5">
        <v>15.0</v>
      </c>
      <c r="V14" s="5" t="s">
        <v>60</v>
      </c>
      <c r="W14" s="6">
        <f t="shared" si="5"/>
        <v>310.656</v>
      </c>
      <c r="X14" s="5">
        <v>0.096</v>
      </c>
      <c r="Y14" s="6">
        <f t="shared" si="6"/>
        <v>747.516</v>
      </c>
      <c r="Z14" s="5">
        <v>0.231</v>
      </c>
      <c r="AA14" s="6"/>
      <c r="AB14" s="5"/>
      <c r="AC14" s="6">
        <f t="shared" si="7"/>
        <v>16.18</v>
      </c>
      <c r="AD14" s="5">
        <v>0.005</v>
      </c>
    </row>
    <row r="15" ht="15.75" customHeight="1">
      <c r="A15" s="5" t="s">
        <v>84</v>
      </c>
      <c r="B15" s="5">
        <v>120.0</v>
      </c>
      <c r="C15" s="5">
        <v>0.0</v>
      </c>
      <c r="D15" s="5">
        <v>120.0</v>
      </c>
      <c r="E15" s="5"/>
      <c r="F15" s="5" t="s">
        <v>39</v>
      </c>
      <c r="G15" s="5" t="s">
        <v>40</v>
      </c>
      <c r="H15" s="5"/>
      <c r="I15" s="5">
        <v>53.2</v>
      </c>
      <c r="J15" s="5"/>
      <c r="K15" s="5"/>
      <c r="L15" s="5" t="s">
        <v>30</v>
      </c>
      <c r="M15" s="5">
        <v>91.9</v>
      </c>
      <c r="N15" s="5">
        <v>0.1</v>
      </c>
      <c r="O15" s="5" t="s">
        <v>29</v>
      </c>
      <c r="P15" s="5">
        <v>2000.0</v>
      </c>
      <c r="Q15" s="5" t="s">
        <v>37</v>
      </c>
      <c r="R15" s="5">
        <v>0.29</v>
      </c>
      <c r="S15" s="5" t="s">
        <v>42</v>
      </c>
      <c r="T15" s="5" t="s">
        <v>33</v>
      </c>
      <c r="U15" s="5"/>
      <c r="V15" s="5" t="s">
        <v>34</v>
      </c>
      <c r="W15" s="6"/>
      <c r="X15" s="5"/>
      <c r="Y15" s="6"/>
      <c r="Z15" s="5"/>
      <c r="AA15" s="6">
        <f t="shared" ref="AA15:AA28" si="8">B15*AB15</f>
        <v>54.6</v>
      </c>
      <c r="AB15" s="5">
        <v>0.455</v>
      </c>
      <c r="AC15" s="5"/>
      <c r="AD15" s="5"/>
    </row>
    <row r="16" ht="15.75" customHeight="1">
      <c r="A16" s="5" t="s">
        <v>85</v>
      </c>
      <c r="B16" s="5">
        <v>853.0</v>
      </c>
      <c r="C16" s="5">
        <v>0.0</v>
      </c>
      <c r="D16" s="5">
        <v>853.0</v>
      </c>
      <c r="E16" s="5">
        <v>16.03</v>
      </c>
      <c r="F16" s="5" t="s">
        <v>86</v>
      </c>
      <c r="G16" s="5" t="s">
        <v>87</v>
      </c>
      <c r="H16" s="5">
        <v>50.1</v>
      </c>
      <c r="I16" s="5">
        <v>6.3</v>
      </c>
      <c r="J16" s="5"/>
      <c r="K16" s="5">
        <v>37.5</v>
      </c>
      <c r="L16" s="5" t="s">
        <v>30</v>
      </c>
      <c r="M16" s="5"/>
      <c r="N16" s="5"/>
      <c r="O16" s="5" t="s">
        <v>29</v>
      </c>
      <c r="P16" s="5">
        <v>2020.0</v>
      </c>
      <c r="Q16" s="5" t="s">
        <v>37</v>
      </c>
      <c r="R16" s="5"/>
      <c r="S16" s="5" t="s">
        <v>42</v>
      </c>
      <c r="T16" s="5" t="s">
        <v>43</v>
      </c>
      <c r="U16" s="5">
        <v>18.0</v>
      </c>
      <c r="V16" s="5" t="s">
        <v>60</v>
      </c>
      <c r="W16" s="6">
        <f t="shared" ref="W16:W19" si="9">B16*X16</f>
        <v>173.159</v>
      </c>
      <c r="X16" s="5">
        <v>0.203</v>
      </c>
      <c r="Y16" s="6">
        <f t="shared" ref="Y16:Y18" si="10">B16*Z16</f>
        <v>126.244</v>
      </c>
      <c r="Z16" s="5">
        <v>0.148</v>
      </c>
      <c r="AA16" s="6">
        <f t="shared" si="8"/>
        <v>277.225</v>
      </c>
      <c r="AB16" s="5">
        <v>0.325</v>
      </c>
      <c r="AC16" s="6">
        <f t="shared" ref="AC16:AC18" si="11">B16*AD16</f>
        <v>16.207</v>
      </c>
      <c r="AD16" s="5">
        <v>0.019</v>
      </c>
    </row>
    <row r="17" ht="15.75" customHeight="1">
      <c r="A17" s="5" t="s">
        <v>88</v>
      </c>
      <c r="B17" s="5">
        <v>515.0</v>
      </c>
      <c r="C17" s="5">
        <v>0.0</v>
      </c>
      <c r="D17" s="5">
        <v>515.0</v>
      </c>
      <c r="E17" s="5">
        <v>14.52</v>
      </c>
      <c r="F17" s="5" t="s">
        <v>27</v>
      </c>
      <c r="G17" s="5" t="s">
        <v>66</v>
      </c>
      <c r="H17" s="5"/>
      <c r="I17" s="5">
        <v>8.2</v>
      </c>
      <c r="J17" s="5">
        <v>42.5</v>
      </c>
      <c r="K17" s="5">
        <v>49.3</v>
      </c>
      <c r="L17" s="5" t="s">
        <v>35</v>
      </c>
      <c r="M17" s="5">
        <v>94.5</v>
      </c>
      <c r="N17" s="5">
        <v>9.6</v>
      </c>
      <c r="O17" s="5" t="s">
        <v>29</v>
      </c>
      <c r="P17" s="5"/>
      <c r="Q17" s="5" t="s">
        <v>31</v>
      </c>
      <c r="R17" s="5">
        <v>0.99</v>
      </c>
      <c r="S17" s="5" t="s">
        <v>32</v>
      </c>
      <c r="T17" s="5" t="s">
        <v>33</v>
      </c>
      <c r="U17" s="5">
        <v>14.0</v>
      </c>
      <c r="V17" s="5" t="s">
        <v>34</v>
      </c>
      <c r="W17" s="6">
        <f t="shared" si="9"/>
        <v>26.78</v>
      </c>
      <c r="X17" s="5">
        <v>0.052</v>
      </c>
      <c r="Y17" s="6">
        <f t="shared" si="10"/>
        <v>52.015</v>
      </c>
      <c r="Z17" s="5">
        <v>0.101</v>
      </c>
      <c r="AA17" s="6">
        <f t="shared" si="8"/>
        <v>73.13</v>
      </c>
      <c r="AB17" s="5">
        <v>0.142</v>
      </c>
      <c r="AC17" s="6">
        <f t="shared" si="11"/>
        <v>7.21</v>
      </c>
      <c r="AD17" s="5">
        <v>0.014</v>
      </c>
    </row>
    <row r="18" ht="15.75" customHeight="1">
      <c r="A18" s="5" t="s">
        <v>89</v>
      </c>
      <c r="B18" s="5">
        <v>2061.0</v>
      </c>
      <c r="C18" s="5">
        <v>0.0</v>
      </c>
      <c r="D18" s="5">
        <v>2061.0</v>
      </c>
      <c r="E18" s="5">
        <v>15.42</v>
      </c>
      <c r="F18" s="5" t="s">
        <v>27</v>
      </c>
      <c r="G18" s="5" t="s">
        <v>66</v>
      </c>
      <c r="H18" s="5">
        <v>8.2</v>
      </c>
      <c r="I18" s="5">
        <v>9.8</v>
      </c>
      <c r="J18" s="5">
        <v>6.3</v>
      </c>
      <c r="K18" s="5">
        <v>16.8</v>
      </c>
      <c r="L18" s="5"/>
      <c r="M18" s="5"/>
      <c r="N18" s="5"/>
      <c r="O18" s="5" t="s">
        <v>29</v>
      </c>
      <c r="P18" s="5" t="s">
        <v>90</v>
      </c>
      <c r="Q18" s="5" t="s">
        <v>37</v>
      </c>
      <c r="R18" s="5">
        <v>0.93</v>
      </c>
      <c r="S18" s="5" t="s">
        <v>32</v>
      </c>
      <c r="T18" s="5" t="s">
        <v>33</v>
      </c>
      <c r="U18" s="5">
        <v>14.0</v>
      </c>
      <c r="V18" s="5" t="s">
        <v>34</v>
      </c>
      <c r="W18" s="6">
        <f t="shared" si="9"/>
        <v>259.686</v>
      </c>
      <c r="X18" s="5">
        <v>0.126</v>
      </c>
      <c r="Y18" s="6">
        <f t="shared" si="10"/>
        <v>377.163</v>
      </c>
      <c r="Z18" s="5">
        <v>0.183</v>
      </c>
      <c r="AA18" s="6">
        <f t="shared" si="8"/>
        <v>494.64</v>
      </c>
      <c r="AB18" s="5">
        <v>0.24</v>
      </c>
      <c r="AC18" s="6">
        <f t="shared" si="11"/>
        <v>10.305</v>
      </c>
      <c r="AD18" s="5">
        <v>0.005</v>
      </c>
    </row>
    <row r="19" ht="15.75" customHeight="1">
      <c r="A19" s="5" t="s">
        <v>91</v>
      </c>
      <c r="B19" s="5">
        <v>1290.0</v>
      </c>
      <c r="C19" s="5">
        <v>0.0</v>
      </c>
      <c r="D19" s="5">
        <v>1290.0</v>
      </c>
      <c r="E19" s="5"/>
      <c r="F19" s="5" t="s">
        <v>45</v>
      </c>
      <c r="G19" s="5" t="s">
        <v>92</v>
      </c>
      <c r="H19" s="5"/>
      <c r="I19" s="5"/>
      <c r="J19" s="5"/>
      <c r="K19" s="5"/>
      <c r="L19" s="5"/>
      <c r="M19" s="5"/>
      <c r="N19" s="5"/>
      <c r="O19" s="5" t="s">
        <v>29</v>
      </c>
      <c r="P19" s="5"/>
      <c r="Q19" s="5" t="s">
        <v>31</v>
      </c>
      <c r="R19" s="5">
        <v>0.96</v>
      </c>
      <c r="S19" s="5" t="s">
        <v>32</v>
      </c>
      <c r="T19" s="5" t="s">
        <v>33</v>
      </c>
      <c r="U19" s="5">
        <v>4.0</v>
      </c>
      <c r="V19" s="5" t="s">
        <v>34</v>
      </c>
      <c r="W19" s="6">
        <f t="shared" si="9"/>
        <v>122.55</v>
      </c>
      <c r="X19" s="5">
        <v>0.095</v>
      </c>
      <c r="Y19" s="6"/>
      <c r="Z19" s="5"/>
      <c r="AA19" s="6">
        <f t="shared" si="8"/>
        <v>70.563</v>
      </c>
      <c r="AB19" s="5">
        <v>0.0547</v>
      </c>
      <c r="AC19" s="5"/>
      <c r="AD19" s="5"/>
    </row>
    <row r="20" ht="15.75" customHeight="1">
      <c r="A20" s="5" t="s">
        <v>95</v>
      </c>
      <c r="B20" s="5">
        <v>258.0</v>
      </c>
      <c r="C20" s="5">
        <v>0.0</v>
      </c>
      <c r="D20" s="5">
        <v>258.0</v>
      </c>
      <c r="E20" s="5"/>
      <c r="F20" s="5" t="s">
        <v>45</v>
      </c>
      <c r="G20" s="5" t="s">
        <v>96</v>
      </c>
      <c r="H20" s="5">
        <v>9.5</v>
      </c>
      <c r="I20" s="5">
        <v>16.9</v>
      </c>
      <c r="J20" s="5">
        <v>21.6</v>
      </c>
      <c r="K20" s="5">
        <v>26.4</v>
      </c>
      <c r="L20" s="5" t="s">
        <v>30</v>
      </c>
      <c r="M20" s="5">
        <v>85.1</v>
      </c>
      <c r="N20" s="5">
        <v>14.9</v>
      </c>
      <c r="O20" s="5" t="s">
        <v>29</v>
      </c>
      <c r="P20" s="5">
        <v>2018.0</v>
      </c>
      <c r="Q20" s="5" t="s">
        <v>31</v>
      </c>
      <c r="R20" s="5"/>
      <c r="S20" s="5" t="s">
        <v>32</v>
      </c>
      <c r="T20" s="5" t="s">
        <v>33</v>
      </c>
      <c r="U20" s="5"/>
      <c r="V20" s="5" t="s">
        <v>60</v>
      </c>
      <c r="W20" s="6"/>
      <c r="X20" s="5"/>
      <c r="Y20" s="6"/>
      <c r="Z20" s="5"/>
      <c r="AA20" s="6">
        <f t="shared" si="8"/>
        <v>84.108</v>
      </c>
      <c r="AB20" s="5">
        <v>0.326</v>
      </c>
      <c r="AC20" s="5"/>
      <c r="AD20" s="5"/>
    </row>
    <row r="21" ht="15.75" customHeight="1">
      <c r="A21" s="5" t="s">
        <v>97</v>
      </c>
      <c r="B21" s="5">
        <v>1201.0</v>
      </c>
      <c r="C21" s="5">
        <v>0.0</v>
      </c>
      <c r="D21" s="5">
        <v>1201.0</v>
      </c>
      <c r="E21" s="5"/>
      <c r="F21" s="5" t="s">
        <v>45</v>
      </c>
      <c r="G21" s="5" t="s">
        <v>46</v>
      </c>
      <c r="H21" s="5"/>
      <c r="I21" s="5"/>
      <c r="J21" s="5"/>
      <c r="K21" s="5"/>
      <c r="L21" s="5"/>
      <c r="M21" s="5"/>
      <c r="N21" s="5"/>
      <c r="O21" s="5" t="s">
        <v>29</v>
      </c>
      <c r="P21" s="5" t="s">
        <v>99</v>
      </c>
      <c r="Q21" s="5" t="s">
        <v>37</v>
      </c>
      <c r="R21" s="5">
        <v>0.96</v>
      </c>
      <c r="S21" s="5" t="s">
        <v>32</v>
      </c>
      <c r="T21" s="5"/>
      <c r="U21" s="5"/>
      <c r="V21" s="5"/>
      <c r="W21" s="6"/>
      <c r="X21" s="5"/>
      <c r="Y21" s="6"/>
      <c r="Z21" s="5"/>
      <c r="AA21" s="6">
        <f t="shared" si="8"/>
        <v>154.929</v>
      </c>
      <c r="AB21" s="5">
        <v>0.129</v>
      </c>
      <c r="AC21" s="5"/>
      <c r="AD21" s="5"/>
    </row>
    <row r="22" ht="15.75" customHeight="1">
      <c r="A22" s="5" t="s">
        <v>104</v>
      </c>
      <c r="B22" s="5">
        <v>8855.0</v>
      </c>
      <c r="C22" s="5">
        <v>0.0</v>
      </c>
      <c r="D22" s="5">
        <v>8855.0</v>
      </c>
      <c r="E22" s="5"/>
      <c r="F22" s="5" t="s">
        <v>39</v>
      </c>
      <c r="G22" s="5" t="s">
        <v>105</v>
      </c>
      <c r="H22" s="5">
        <v>19.1</v>
      </c>
      <c r="I22" s="5">
        <v>49.5</v>
      </c>
      <c r="J22" s="5">
        <v>21.1</v>
      </c>
      <c r="K22" s="5">
        <v>9.5</v>
      </c>
      <c r="L22" s="5" t="s">
        <v>30</v>
      </c>
      <c r="M22" s="5">
        <v>97.5</v>
      </c>
      <c r="N22" s="5">
        <v>2.5</v>
      </c>
      <c r="O22" s="5" t="s">
        <v>29</v>
      </c>
      <c r="P22" s="5"/>
      <c r="Q22" s="5"/>
      <c r="R22" s="5"/>
      <c r="S22" s="5"/>
      <c r="T22" s="5"/>
      <c r="U22" s="5"/>
      <c r="V22" s="5"/>
      <c r="W22" s="6"/>
      <c r="X22" s="5"/>
      <c r="Y22" s="6"/>
      <c r="Z22" s="5"/>
      <c r="AA22" s="6">
        <f t="shared" si="8"/>
        <v>336.49</v>
      </c>
      <c r="AB22" s="5">
        <v>0.038</v>
      </c>
      <c r="AC22" s="5"/>
      <c r="AD22" s="5"/>
    </row>
    <row r="23" ht="15.75" customHeight="1">
      <c r="A23" s="5" t="s">
        <v>106</v>
      </c>
      <c r="B23" s="5">
        <v>185.0</v>
      </c>
      <c r="C23" s="5">
        <v>0.0</v>
      </c>
      <c r="D23" s="5">
        <v>185.0</v>
      </c>
      <c r="E23" s="5">
        <v>15.8</v>
      </c>
      <c r="F23" s="5" t="s">
        <v>27</v>
      </c>
      <c r="G23" s="5" t="s">
        <v>107</v>
      </c>
      <c r="H23" s="5"/>
      <c r="I23" s="5"/>
      <c r="J23" s="5"/>
      <c r="K23" s="5"/>
      <c r="L23" s="5"/>
      <c r="M23" s="5"/>
      <c r="N23" s="5"/>
      <c r="O23" s="5" t="s">
        <v>29</v>
      </c>
      <c r="P23" s="5" t="s">
        <v>110</v>
      </c>
      <c r="Q23" s="5" t="s">
        <v>31</v>
      </c>
      <c r="R23" s="5">
        <v>0.81</v>
      </c>
      <c r="S23" s="5" t="s">
        <v>42</v>
      </c>
      <c r="T23" s="5" t="s">
        <v>43</v>
      </c>
      <c r="U23" s="5"/>
      <c r="V23" s="5" t="s">
        <v>34</v>
      </c>
      <c r="W23" s="6"/>
      <c r="X23" s="5"/>
      <c r="Y23" s="6"/>
      <c r="Z23" s="5"/>
      <c r="AA23" s="6">
        <f t="shared" si="8"/>
        <v>15.17</v>
      </c>
      <c r="AB23" s="5">
        <v>0.082</v>
      </c>
      <c r="AC23" s="5"/>
      <c r="AD23" s="5"/>
    </row>
    <row r="24" ht="15.75" customHeight="1">
      <c r="A24" s="5" t="s">
        <v>111</v>
      </c>
      <c r="B24" s="5">
        <v>640.0</v>
      </c>
      <c r="C24" s="5">
        <v>0.0</v>
      </c>
      <c r="D24" s="5">
        <v>640.0</v>
      </c>
      <c r="E24" s="5">
        <v>15.04</v>
      </c>
      <c r="F24" s="5" t="s">
        <v>57</v>
      </c>
      <c r="G24" s="5" t="s">
        <v>112</v>
      </c>
      <c r="H24" s="5"/>
      <c r="I24" s="5"/>
      <c r="J24" s="5"/>
      <c r="K24" s="5"/>
      <c r="L24" s="5"/>
      <c r="M24" s="5"/>
      <c r="N24" s="5"/>
      <c r="O24" s="5" t="s">
        <v>29</v>
      </c>
      <c r="P24" s="5" t="s">
        <v>113</v>
      </c>
      <c r="Q24" s="5" t="s">
        <v>37</v>
      </c>
      <c r="R24" s="5"/>
      <c r="S24" s="5" t="s">
        <v>32</v>
      </c>
      <c r="T24" s="5" t="s">
        <v>33</v>
      </c>
      <c r="U24" s="5">
        <v>8.0</v>
      </c>
      <c r="V24" s="5" t="s">
        <v>60</v>
      </c>
      <c r="W24" s="6"/>
      <c r="X24" s="5"/>
      <c r="Y24" s="6"/>
      <c r="Z24" s="5"/>
      <c r="AA24" s="6">
        <f t="shared" si="8"/>
        <v>96.64</v>
      </c>
      <c r="AB24" s="5">
        <v>0.151</v>
      </c>
      <c r="AC24" s="5"/>
      <c r="AD24" s="5"/>
    </row>
    <row r="25" ht="15.75" customHeight="1">
      <c r="A25" s="5" t="s">
        <v>114</v>
      </c>
      <c r="B25" s="5">
        <v>640.0</v>
      </c>
      <c r="C25" s="5">
        <v>0.0</v>
      </c>
      <c r="D25" s="5">
        <v>640.0</v>
      </c>
      <c r="E25" s="5">
        <v>15.04</v>
      </c>
      <c r="F25" s="5" t="s">
        <v>57</v>
      </c>
      <c r="G25" s="5" t="s">
        <v>112</v>
      </c>
      <c r="H25" s="5"/>
      <c r="I25" s="5"/>
      <c r="J25" s="5"/>
      <c r="K25" s="5"/>
      <c r="L25" s="5"/>
      <c r="M25" s="5"/>
      <c r="N25" s="5"/>
      <c r="O25" s="5" t="s">
        <v>29</v>
      </c>
      <c r="P25" s="5" t="s">
        <v>116</v>
      </c>
      <c r="Q25" s="5" t="s">
        <v>31</v>
      </c>
      <c r="R25" s="5"/>
      <c r="S25" s="5" t="s">
        <v>32</v>
      </c>
      <c r="T25" s="5" t="s">
        <v>33</v>
      </c>
      <c r="U25" s="5">
        <v>8.0</v>
      </c>
      <c r="V25" s="5" t="s">
        <v>60</v>
      </c>
      <c r="W25" s="6"/>
      <c r="X25" s="5"/>
      <c r="Y25" s="6"/>
      <c r="Z25" s="5"/>
      <c r="AA25" s="6">
        <f t="shared" si="8"/>
        <v>133.12</v>
      </c>
      <c r="AB25" s="5">
        <v>0.208</v>
      </c>
      <c r="AC25" s="5"/>
      <c r="AD25" s="5"/>
    </row>
    <row r="26" ht="15.75" customHeight="1">
      <c r="A26" s="5" t="s">
        <v>119</v>
      </c>
      <c r="B26" s="5">
        <v>104.0</v>
      </c>
      <c r="C26" s="5">
        <v>0.0</v>
      </c>
      <c r="D26" s="5">
        <v>104.0</v>
      </c>
      <c r="E26" s="5">
        <v>14.16</v>
      </c>
      <c r="F26" s="5" t="s">
        <v>57</v>
      </c>
      <c r="G26" s="5" t="s">
        <v>120</v>
      </c>
      <c r="H26" s="5"/>
      <c r="I26" s="5"/>
      <c r="J26" s="5"/>
      <c r="K26" s="5"/>
      <c r="L26" s="5"/>
      <c r="M26" s="5"/>
      <c r="N26" s="5"/>
      <c r="O26" s="5" t="s">
        <v>29</v>
      </c>
      <c r="P26" s="5">
        <v>2012.0</v>
      </c>
      <c r="Q26" s="5" t="s">
        <v>31</v>
      </c>
      <c r="R26" s="5"/>
      <c r="S26" s="5" t="s">
        <v>32</v>
      </c>
      <c r="T26" s="5" t="s">
        <v>33</v>
      </c>
      <c r="U26" s="5">
        <v>28.0</v>
      </c>
      <c r="V26" s="5" t="s">
        <v>34</v>
      </c>
      <c r="W26" s="6"/>
      <c r="X26" s="5"/>
      <c r="Y26" s="6"/>
      <c r="Z26" s="5"/>
      <c r="AA26" s="6">
        <f t="shared" si="8"/>
        <v>17.992</v>
      </c>
      <c r="AB26" s="5">
        <v>0.173</v>
      </c>
      <c r="AC26" s="5"/>
      <c r="AD26" s="5"/>
    </row>
    <row r="27" ht="15.75" customHeight="1">
      <c r="A27" s="5" t="s">
        <v>121</v>
      </c>
      <c r="B27" s="5">
        <v>4407.0</v>
      </c>
      <c r="C27" s="5">
        <v>0.0</v>
      </c>
      <c r="D27" s="5">
        <v>4407.0</v>
      </c>
      <c r="E27" s="5">
        <v>15.37</v>
      </c>
      <c r="F27" s="5" t="s">
        <v>45</v>
      </c>
      <c r="G27" s="5" t="s">
        <v>46</v>
      </c>
      <c r="H27" s="5"/>
      <c r="I27" s="5"/>
      <c r="J27" s="5"/>
      <c r="K27" s="5"/>
      <c r="L27" s="5"/>
      <c r="M27" s="5"/>
      <c r="N27" s="5"/>
      <c r="O27" s="5" t="s">
        <v>29</v>
      </c>
      <c r="P27" s="5" t="s">
        <v>123</v>
      </c>
      <c r="Q27" s="5" t="s">
        <v>31</v>
      </c>
      <c r="R27" s="5">
        <v>0.982</v>
      </c>
      <c r="S27" s="5" t="s">
        <v>32</v>
      </c>
      <c r="T27" s="5" t="s">
        <v>33</v>
      </c>
      <c r="U27" s="5">
        <v>7.0</v>
      </c>
      <c r="V27" s="5" t="s">
        <v>34</v>
      </c>
      <c r="W27" s="6">
        <f t="shared" ref="W27:W28" si="12">B27*X27</f>
        <v>145.431</v>
      </c>
      <c r="X27" s="5">
        <v>0.033</v>
      </c>
      <c r="Y27" s="6">
        <f t="shared" ref="Y27:Y28" si="13">B27*Z27</f>
        <v>233.571</v>
      </c>
      <c r="Z27" s="5">
        <v>0.053</v>
      </c>
      <c r="AA27" s="6">
        <f t="shared" si="8"/>
        <v>520.026</v>
      </c>
      <c r="AB27" s="5">
        <v>0.118</v>
      </c>
      <c r="AC27" s="6">
        <f t="shared" ref="AC27:AC28" si="14">B27*AD27</f>
        <v>141.024</v>
      </c>
      <c r="AD27" s="5">
        <v>0.032</v>
      </c>
    </row>
    <row r="28" ht="15.75" customHeight="1">
      <c r="A28" s="5" t="s">
        <v>125</v>
      </c>
      <c r="B28" s="5">
        <v>522.0</v>
      </c>
      <c r="C28" s="5">
        <v>0.0</v>
      </c>
      <c r="D28" s="5">
        <v>522.0</v>
      </c>
      <c r="E28" s="5">
        <v>14.3</v>
      </c>
      <c r="F28" s="5" t="s">
        <v>45</v>
      </c>
      <c r="G28" s="5" t="s">
        <v>46</v>
      </c>
      <c r="H28" s="5"/>
      <c r="I28" s="5"/>
      <c r="J28" s="5"/>
      <c r="K28" s="5"/>
      <c r="L28" s="5"/>
      <c r="M28" s="5"/>
      <c r="N28" s="5"/>
      <c r="O28" s="5" t="s">
        <v>29</v>
      </c>
      <c r="P28" s="5" t="s">
        <v>127</v>
      </c>
      <c r="Q28" s="5" t="s">
        <v>31</v>
      </c>
      <c r="R28" s="5"/>
      <c r="S28" s="5" t="s">
        <v>32</v>
      </c>
      <c r="T28" s="5" t="s">
        <v>33</v>
      </c>
      <c r="U28" s="5">
        <v>12.0</v>
      </c>
      <c r="V28" s="5" t="s">
        <v>34</v>
      </c>
      <c r="W28" s="6">
        <f t="shared" si="12"/>
        <v>9.918</v>
      </c>
      <c r="X28" s="5">
        <v>0.019</v>
      </c>
      <c r="Y28" s="6">
        <f t="shared" si="13"/>
        <v>153.468</v>
      </c>
      <c r="Z28" s="5">
        <v>0.294</v>
      </c>
      <c r="AA28" s="6">
        <f t="shared" si="8"/>
        <v>20.88</v>
      </c>
      <c r="AB28" s="5">
        <v>0.04</v>
      </c>
      <c r="AC28" s="6">
        <f t="shared" si="14"/>
        <v>8.874</v>
      </c>
      <c r="AD28" s="5">
        <v>0.017</v>
      </c>
    </row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30" width="10.56"/>
  </cols>
  <sheetData>
    <row r="1" ht="15.7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129</v>
      </c>
      <c r="X1" s="1" t="s">
        <v>22</v>
      </c>
      <c r="Y1" s="1" t="s">
        <v>130</v>
      </c>
      <c r="Z1" s="1" t="s">
        <v>23</v>
      </c>
      <c r="AA1" s="1" t="s">
        <v>131</v>
      </c>
      <c r="AB1" s="1" t="s">
        <v>24</v>
      </c>
      <c r="AC1" s="1" t="s">
        <v>132</v>
      </c>
      <c r="AD1" s="1" t="s">
        <v>25</v>
      </c>
    </row>
    <row r="2" ht="15.75" customHeight="1">
      <c r="A2" s="2" t="s">
        <v>26</v>
      </c>
      <c r="B2" s="2">
        <v>1552.0</v>
      </c>
      <c r="C2" s="2">
        <v>1552.0</v>
      </c>
      <c r="D2" s="2">
        <v>0.0</v>
      </c>
      <c r="E2" s="2">
        <v>13.41</v>
      </c>
      <c r="F2" s="2" t="s">
        <v>27</v>
      </c>
      <c r="G2" s="2" t="s">
        <v>28</v>
      </c>
      <c r="H2" s="2">
        <v>59.28</v>
      </c>
      <c r="I2" s="2">
        <v>7.15</v>
      </c>
      <c r="J2" s="2">
        <v>31.3</v>
      </c>
      <c r="L2" s="2" t="s">
        <v>29</v>
      </c>
      <c r="M2" s="2">
        <v>29.6</v>
      </c>
      <c r="N2" s="2">
        <v>57.02</v>
      </c>
      <c r="O2" s="2" t="s">
        <v>30</v>
      </c>
      <c r="P2" s="2">
        <v>2011.0</v>
      </c>
      <c r="Q2" s="2" t="s">
        <v>31</v>
      </c>
      <c r="R2" s="2">
        <v>0.87</v>
      </c>
      <c r="S2" s="2" t="s">
        <v>32</v>
      </c>
      <c r="T2" s="2" t="s">
        <v>33</v>
      </c>
      <c r="U2" s="2">
        <v>52.0</v>
      </c>
      <c r="V2" s="2" t="s">
        <v>133</v>
      </c>
      <c r="W2" s="8">
        <f t="shared" ref="W2:W3" si="1">B2*X2</f>
        <v>63.632</v>
      </c>
      <c r="X2" s="2">
        <v>0.040999999999999995</v>
      </c>
      <c r="Y2" s="8">
        <f t="shared" ref="Y2:Y5" si="2">B2*Z2</f>
        <v>102.432</v>
      </c>
      <c r="Z2" s="2">
        <v>0.066</v>
      </c>
      <c r="AA2" s="8">
        <f t="shared" ref="AA2:AA10" si="3">B2*AB2</f>
        <v>133.472</v>
      </c>
      <c r="AB2" s="2">
        <v>0.086</v>
      </c>
    </row>
    <row r="3" ht="15.75" customHeight="1">
      <c r="A3" s="2" t="s">
        <v>36</v>
      </c>
      <c r="B3" s="2">
        <v>1552.0</v>
      </c>
      <c r="C3" s="2">
        <v>1552.0</v>
      </c>
      <c r="D3" s="2">
        <v>0.0</v>
      </c>
      <c r="E3" s="2">
        <v>13.41</v>
      </c>
      <c r="F3" s="2" t="s">
        <v>27</v>
      </c>
      <c r="G3" s="2" t="s">
        <v>28</v>
      </c>
      <c r="H3" s="2">
        <v>74.64</v>
      </c>
      <c r="I3" s="2">
        <v>7.26</v>
      </c>
      <c r="J3" s="2">
        <v>15.01</v>
      </c>
      <c r="L3" s="2" t="s">
        <v>29</v>
      </c>
      <c r="M3" s="2">
        <v>29.6</v>
      </c>
      <c r="N3" s="2">
        <v>57.02</v>
      </c>
      <c r="O3" s="2" t="s">
        <v>30</v>
      </c>
      <c r="P3" s="2">
        <v>2011.0</v>
      </c>
      <c r="Q3" s="2" t="s">
        <v>37</v>
      </c>
      <c r="R3" s="2">
        <v>0.87</v>
      </c>
      <c r="S3" s="2" t="s">
        <v>32</v>
      </c>
      <c r="T3" s="2" t="s">
        <v>33</v>
      </c>
      <c r="U3" s="2">
        <v>52.0</v>
      </c>
      <c r="V3" s="2" t="s">
        <v>133</v>
      </c>
      <c r="W3" s="8">
        <f t="shared" si="1"/>
        <v>51.216</v>
      </c>
      <c r="X3" s="2">
        <v>0.033</v>
      </c>
      <c r="Y3" s="8">
        <f t="shared" si="2"/>
        <v>79.152</v>
      </c>
      <c r="Z3" s="2">
        <v>0.051</v>
      </c>
      <c r="AA3" s="8">
        <f t="shared" si="3"/>
        <v>103.984</v>
      </c>
      <c r="AB3" s="2">
        <v>0.067</v>
      </c>
    </row>
    <row r="4" ht="15.75" customHeight="1">
      <c r="A4" s="2" t="s">
        <v>44</v>
      </c>
      <c r="B4" s="2">
        <v>9773.0</v>
      </c>
      <c r="C4" s="2">
        <v>9773.0</v>
      </c>
      <c r="D4" s="2">
        <v>0.0</v>
      </c>
      <c r="E4" s="2">
        <v>15.85</v>
      </c>
      <c r="F4" s="2" t="s">
        <v>45</v>
      </c>
      <c r="G4" s="2" t="s">
        <v>46</v>
      </c>
      <c r="O4" s="2" t="s">
        <v>30</v>
      </c>
      <c r="P4" s="2" t="s">
        <v>47</v>
      </c>
      <c r="Q4" s="2" t="s">
        <v>31</v>
      </c>
      <c r="R4" s="2">
        <v>0.96</v>
      </c>
      <c r="S4" s="2" t="s">
        <v>32</v>
      </c>
      <c r="T4" s="2" t="s">
        <v>33</v>
      </c>
      <c r="U4" s="2">
        <v>12.0</v>
      </c>
      <c r="V4" s="2" t="s">
        <v>133</v>
      </c>
      <c r="W4" s="8"/>
      <c r="Y4" s="8">
        <f t="shared" si="2"/>
        <v>302.963</v>
      </c>
      <c r="Z4" s="2">
        <v>0.031</v>
      </c>
      <c r="AA4" s="8">
        <f t="shared" si="3"/>
        <v>879.57</v>
      </c>
      <c r="AB4" s="2">
        <v>0.09</v>
      </c>
      <c r="AC4" s="8">
        <f t="shared" ref="AC4:AC7" si="4">B4*AD4</f>
        <v>244.325</v>
      </c>
      <c r="AD4" s="2">
        <v>0.025</v>
      </c>
    </row>
    <row r="5" ht="15.75" customHeight="1">
      <c r="A5" s="2" t="s">
        <v>44</v>
      </c>
      <c r="B5" s="2">
        <v>9773.0</v>
      </c>
      <c r="C5" s="2">
        <v>9773.0</v>
      </c>
      <c r="D5" s="2">
        <v>0.0</v>
      </c>
      <c r="E5" s="2">
        <v>15.85</v>
      </c>
      <c r="F5" s="2" t="s">
        <v>45</v>
      </c>
      <c r="G5" s="2" t="s">
        <v>46</v>
      </c>
      <c r="O5" s="2" t="s">
        <v>30</v>
      </c>
      <c r="P5" s="2" t="s">
        <v>49</v>
      </c>
      <c r="Q5" s="2" t="s">
        <v>37</v>
      </c>
      <c r="R5" s="2">
        <v>0.96</v>
      </c>
      <c r="S5" s="2" t="s">
        <v>32</v>
      </c>
      <c r="T5" s="2" t="s">
        <v>33</v>
      </c>
      <c r="U5" s="2">
        <v>12.0</v>
      </c>
      <c r="V5" s="2" t="s">
        <v>133</v>
      </c>
      <c r="W5" s="8"/>
      <c r="Y5" s="8">
        <f t="shared" si="2"/>
        <v>244.325</v>
      </c>
      <c r="Z5" s="2">
        <v>0.025</v>
      </c>
      <c r="AA5" s="8">
        <f t="shared" si="3"/>
        <v>713.429</v>
      </c>
      <c r="AB5" s="2">
        <v>0.073</v>
      </c>
      <c r="AC5" s="8">
        <f t="shared" si="4"/>
        <v>185.687</v>
      </c>
      <c r="AD5" s="2">
        <v>0.019</v>
      </c>
    </row>
    <row r="6" ht="15.75" customHeight="1">
      <c r="A6" s="2" t="s">
        <v>56</v>
      </c>
      <c r="B6" s="2">
        <v>680.0</v>
      </c>
      <c r="C6" s="2">
        <v>680.0</v>
      </c>
      <c r="D6" s="2">
        <v>0.0</v>
      </c>
      <c r="E6" s="2">
        <v>8.66</v>
      </c>
      <c r="F6" s="2" t="s">
        <v>57</v>
      </c>
      <c r="G6" s="2" t="s">
        <v>58</v>
      </c>
      <c r="H6" s="2">
        <v>45.8</v>
      </c>
      <c r="I6" s="2">
        <v>55.4</v>
      </c>
      <c r="L6" s="2" t="s">
        <v>30</v>
      </c>
      <c r="O6" s="2" t="s">
        <v>30</v>
      </c>
      <c r="P6" s="2" t="s">
        <v>59</v>
      </c>
      <c r="R6" s="2">
        <v>0.95</v>
      </c>
      <c r="S6" s="2" t="s">
        <v>42</v>
      </c>
      <c r="T6" s="2" t="s">
        <v>43</v>
      </c>
      <c r="V6" s="2" t="s">
        <v>60</v>
      </c>
      <c r="W6" s="8">
        <f t="shared" ref="W6:W7" si="5">B6*X6</f>
        <v>280.16</v>
      </c>
      <c r="X6" s="2">
        <v>0.41200000000000003</v>
      </c>
      <c r="Y6" s="8"/>
      <c r="AA6" s="8">
        <f t="shared" si="3"/>
        <v>238.68</v>
      </c>
      <c r="AB6" s="2">
        <v>0.35100000000000003</v>
      </c>
      <c r="AC6" s="8">
        <f t="shared" si="4"/>
        <v>320.28</v>
      </c>
      <c r="AD6" s="2">
        <v>0.47100000000000003</v>
      </c>
    </row>
    <row r="7" ht="15.75" customHeight="1">
      <c r="A7" s="2" t="s">
        <v>61</v>
      </c>
      <c r="B7" s="2">
        <v>680.0</v>
      </c>
      <c r="C7" s="2">
        <v>680.0</v>
      </c>
      <c r="D7" s="2">
        <v>0.0</v>
      </c>
      <c r="E7" s="2">
        <v>8.66</v>
      </c>
      <c r="F7" s="2" t="s">
        <v>57</v>
      </c>
      <c r="G7" s="2" t="s">
        <v>58</v>
      </c>
      <c r="H7" s="2">
        <v>35.7</v>
      </c>
      <c r="L7" s="2" t="s">
        <v>30</v>
      </c>
      <c r="O7" s="2" t="s">
        <v>30</v>
      </c>
      <c r="P7" s="2" t="s">
        <v>62</v>
      </c>
      <c r="R7" s="2">
        <v>0.95</v>
      </c>
      <c r="S7" s="2" t="s">
        <v>42</v>
      </c>
      <c r="T7" s="2" t="s">
        <v>43</v>
      </c>
      <c r="V7" s="2" t="s">
        <v>60</v>
      </c>
      <c r="W7" s="8">
        <f t="shared" si="5"/>
        <v>33.32</v>
      </c>
      <c r="X7" s="2">
        <v>0.049</v>
      </c>
      <c r="Y7" s="8"/>
      <c r="AA7" s="8">
        <f t="shared" si="3"/>
        <v>59.16</v>
      </c>
      <c r="AB7" s="2">
        <v>0.087</v>
      </c>
      <c r="AC7" s="8">
        <f t="shared" si="4"/>
        <v>99.28</v>
      </c>
      <c r="AD7" s="2">
        <v>0.146</v>
      </c>
    </row>
    <row r="8" ht="15.75" customHeight="1">
      <c r="A8" s="2" t="s">
        <v>65</v>
      </c>
      <c r="B8" s="2">
        <v>22.0</v>
      </c>
      <c r="C8" s="2">
        <v>22.0</v>
      </c>
      <c r="D8" s="2">
        <v>0.0</v>
      </c>
      <c r="E8" s="2">
        <v>16.32</v>
      </c>
      <c r="F8" s="2" t="s">
        <v>27</v>
      </c>
      <c r="G8" s="2" t="s">
        <v>66</v>
      </c>
      <c r="J8" s="2">
        <v>66.9</v>
      </c>
      <c r="K8" s="2">
        <v>33.1</v>
      </c>
      <c r="L8" s="2" t="s">
        <v>30</v>
      </c>
      <c r="M8" s="3">
        <v>1.0</v>
      </c>
      <c r="O8" s="2" t="s">
        <v>30</v>
      </c>
      <c r="Q8" s="2" t="s">
        <v>37</v>
      </c>
      <c r="R8" s="2">
        <v>0.71</v>
      </c>
      <c r="S8" s="2" t="s">
        <v>42</v>
      </c>
      <c r="T8" s="2" t="s">
        <v>43</v>
      </c>
      <c r="U8" s="2">
        <v>17.0</v>
      </c>
      <c r="V8" s="2" t="s">
        <v>133</v>
      </c>
      <c r="W8" s="8"/>
      <c r="Y8" s="8"/>
      <c r="AA8" s="8">
        <f t="shared" si="3"/>
        <v>2.992</v>
      </c>
      <c r="AB8" s="2">
        <v>0.136</v>
      </c>
    </row>
    <row r="9" ht="15.75" customHeight="1">
      <c r="A9" s="2" t="s">
        <v>73</v>
      </c>
      <c r="B9" s="2">
        <v>326.0</v>
      </c>
      <c r="C9" s="2">
        <v>326.0</v>
      </c>
      <c r="D9" s="2">
        <v>0.0</v>
      </c>
      <c r="E9" s="2">
        <v>13.02</v>
      </c>
      <c r="F9" s="2" t="s">
        <v>45</v>
      </c>
      <c r="G9" s="2" t="s">
        <v>46</v>
      </c>
      <c r="O9" s="2" t="s">
        <v>30</v>
      </c>
      <c r="P9" s="2">
        <v>2009.0</v>
      </c>
      <c r="Q9" s="2" t="s">
        <v>31</v>
      </c>
      <c r="R9" s="2">
        <v>0.47</v>
      </c>
      <c r="S9" s="2" t="s">
        <v>32</v>
      </c>
      <c r="T9" s="2" t="s">
        <v>33</v>
      </c>
      <c r="U9" s="2">
        <v>12.0</v>
      </c>
      <c r="V9" s="2" t="s">
        <v>133</v>
      </c>
      <c r="W9" s="8">
        <f>B9*X9</f>
        <v>48.9</v>
      </c>
      <c r="X9" s="2">
        <v>0.15</v>
      </c>
      <c r="Y9" s="8">
        <f>B9*Z9</f>
        <v>64.222</v>
      </c>
      <c r="Z9" s="2">
        <v>0.19699999999999998</v>
      </c>
      <c r="AA9" s="8">
        <f t="shared" si="3"/>
        <v>70.09</v>
      </c>
      <c r="AB9" s="2">
        <v>0.215</v>
      </c>
    </row>
    <row r="10" ht="15.75" customHeight="1">
      <c r="A10" s="2" t="s">
        <v>75</v>
      </c>
      <c r="B10" s="2">
        <v>463.0</v>
      </c>
      <c r="C10" s="2">
        <v>463.0</v>
      </c>
      <c r="D10" s="2">
        <v>0.0</v>
      </c>
      <c r="F10" s="2" t="s">
        <v>45</v>
      </c>
      <c r="G10" s="2" t="s">
        <v>76</v>
      </c>
      <c r="O10" s="2" t="s">
        <v>30</v>
      </c>
      <c r="P10" s="2" t="s">
        <v>77</v>
      </c>
      <c r="Q10" s="2" t="s">
        <v>37</v>
      </c>
      <c r="R10" s="2">
        <v>0.68</v>
      </c>
      <c r="S10" s="2" t="s">
        <v>78</v>
      </c>
      <c r="T10" s="2" t="s">
        <v>43</v>
      </c>
      <c r="W10" s="8"/>
      <c r="Y10" s="8"/>
      <c r="AA10" s="8">
        <f t="shared" si="3"/>
        <v>5.556</v>
      </c>
      <c r="AB10" s="2">
        <v>0.012</v>
      </c>
    </row>
    <row r="11" ht="15.75" customHeight="1">
      <c r="A11" s="2" t="s">
        <v>80</v>
      </c>
      <c r="B11" s="2">
        <v>3551.0</v>
      </c>
      <c r="C11" s="2">
        <v>3551.0</v>
      </c>
      <c r="D11" s="2">
        <v>0.0</v>
      </c>
      <c r="E11" s="2">
        <v>15.5</v>
      </c>
      <c r="F11" s="2" t="s">
        <v>27</v>
      </c>
      <c r="G11" s="2" t="s">
        <v>81</v>
      </c>
      <c r="H11" s="2">
        <v>36.96</v>
      </c>
      <c r="I11" s="2">
        <v>2.16</v>
      </c>
      <c r="J11" s="2">
        <v>40.3</v>
      </c>
      <c r="K11" s="2">
        <v>35.91</v>
      </c>
      <c r="L11" s="2" t="s">
        <v>29</v>
      </c>
      <c r="M11" s="2">
        <v>40.25</v>
      </c>
      <c r="N11" s="2">
        <v>71.75</v>
      </c>
      <c r="O11" s="2" t="s">
        <v>30</v>
      </c>
      <c r="P11" s="2" t="s">
        <v>52</v>
      </c>
      <c r="Q11" s="2" t="s">
        <v>31</v>
      </c>
      <c r="R11" s="2">
        <v>0.9</v>
      </c>
      <c r="S11" s="2" t="s">
        <v>32</v>
      </c>
      <c r="T11" s="2" t="s">
        <v>33</v>
      </c>
      <c r="U11" s="2">
        <v>15.0</v>
      </c>
      <c r="V11" s="2" t="s">
        <v>60</v>
      </c>
      <c r="W11" s="8">
        <f t="shared" ref="W11:W12" si="6">B11*X11</f>
        <v>170.448</v>
      </c>
      <c r="X11" s="2">
        <v>0.048</v>
      </c>
      <c r="Y11" s="8">
        <f t="shared" ref="Y11:Y12" si="7">B11*Z11</f>
        <v>529.099</v>
      </c>
      <c r="Z11" s="2">
        <v>0.149</v>
      </c>
      <c r="AA11" s="8"/>
      <c r="AC11" s="8">
        <f t="shared" ref="AC11:AC12" si="8">B11*AD11</f>
        <v>21.306</v>
      </c>
      <c r="AD11" s="2">
        <v>0.006</v>
      </c>
    </row>
    <row r="12" ht="15.75" customHeight="1">
      <c r="A12" s="2" t="s">
        <v>82</v>
      </c>
      <c r="B12" s="2">
        <v>3551.0</v>
      </c>
      <c r="C12" s="2">
        <v>3551.0</v>
      </c>
      <c r="D12" s="2">
        <v>0.0</v>
      </c>
      <c r="E12" s="2">
        <v>15.5</v>
      </c>
      <c r="F12" s="2" t="s">
        <v>27</v>
      </c>
      <c r="G12" s="2" t="s">
        <v>81</v>
      </c>
      <c r="H12" s="2">
        <v>36.64</v>
      </c>
      <c r="I12" s="2">
        <v>4.31</v>
      </c>
      <c r="J12" s="2">
        <v>54.66</v>
      </c>
      <c r="K12" s="2">
        <v>20.4</v>
      </c>
      <c r="L12" s="2" t="s">
        <v>29</v>
      </c>
      <c r="M12" s="2">
        <v>40.25</v>
      </c>
      <c r="N12" s="2">
        <v>71.75</v>
      </c>
      <c r="O12" s="2" t="s">
        <v>30</v>
      </c>
      <c r="P12" s="2" t="s">
        <v>47</v>
      </c>
      <c r="Q12" s="2" t="s">
        <v>37</v>
      </c>
      <c r="R12" s="2">
        <v>0.9</v>
      </c>
      <c r="S12" s="2" t="s">
        <v>32</v>
      </c>
      <c r="T12" s="2" t="s">
        <v>33</v>
      </c>
      <c r="U12" s="2">
        <v>15.0</v>
      </c>
      <c r="V12" s="2" t="s">
        <v>60</v>
      </c>
      <c r="W12" s="8">
        <f t="shared" si="6"/>
        <v>110.081</v>
      </c>
      <c r="X12" s="2">
        <v>0.031</v>
      </c>
      <c r="Y12" s="8">
        <f t="shared" si="7"/>
        <v>394.161</v>
      </c>
      <c r="Z12" s="2">
        <v>0.111</v>
      </c>
      <c r="AA12" s="8"/>
      <c r="AC12" s="8">
        <f t="shared" si="8"/>
        <v>113.632</v>
      </c>
      <c r="AD12" s="2">
        <v>0.032</v>
      </c>
    </row>
    <row r="13" ht="15.75" customHeight="1">
      <c r="A13" s="2" t="s">
        <v>83</v>
      </c>
      <c r="B13" s="2">
        <v>498.0</v>
      </c>
      <c r="C13" s="2">
        <v>498.0</v>
      </c>
      <c r="D13" s="2">
        <v>0.0</v>
      </c>
      <c r="E13" s="2">
        <v>15.93</v>
      </c>
      <c r="F13" s="2" t="s">
        <v>39</v>
      </c>
      <c r="G13" s="2" t="s">
        <v>40</v>
      </c>
      <c r="H13" s="2">
        <v>22.0</v>
      </c>
      <c r="I13" s="2">
        <v>72.3</v>
      </c>
      <c r="J13" s="2">
        <v>9.5</v>
      </c>
      <c r="O13" s="2" t="s">
        <v>30</v>
      </c>
      <c r="Q13" s="2" t="s">
        <v>37</v>
      </c>
      <c r="S13" s="2" t="s">
        <v>42</v>
      </c>
      <c r="T13" s="2" t="s">
        <v>33</v>
      </c>
      <c r="V13" s="2" t="s">
        <v>60</v>
      </c>
      <c r="W13" s="8"/>
      <c r="Y13" s="8"/>
      <c r="AA13" s="8">
        <f t="shared" ref="AA13:AA26" si="9">B13*AB13</f>
        <v>165.834</v>
      </c>
      <c r="AB13" s="2">
        <v>0.33299999999999996</v>
      </c>
    </row>
    <row r="14" ht="15.75" customHeight="1">
      <c r="A14" s="2" t="s">
        <v>84</v>
      </c>
      <c r="B14" s="2">
        <v>106.0</v>
      </c>
      <c r="C14" s="2">
        <v>106.0</v>
      </c>
      <c r="D14" s="2">
        <v>0.0</v>
      </c>
      <c r="F14" s="2" t="s">
        <v>39</v>
      </c>
      <c r="G14" s="2" t="s">
        <v>40</v>
      </c>
      <c r="I14" s="2">
        <v>57.9</v>
      </c>
      <c r="L14" s="2" t="s">
        <v>29</v>
      </c>
      <c r="M14" s="2">
        <v>47.1</v>
      </c>
      <c r="N14" s="2">
        <v>52.9</v>
      </c>
      <c r="O14" s="2" t="s">
        <v>30</v>
      </c>
      <c r="P14" s="2">
        <v>2000.0</v>
      </c>
      <c r="Q14" s="2" t="s">
        <v>37</v>
      </c>
      <c r="R14" s="2">
        <v>0.29</v>
      </c>
      <c r="S14" s="2" t="s">
        <v>42</v>
      </c>
      <c r="T14" s="2" t="s">
        <v>33</v>
      </c>
      <c r="V14" s="2" t="s">
        <v>133</v>
      </c>
      <c r="W14" s="8"/>
      <c r="Y14" s="8"/>
      <c r="AA14" s="8">
        <f t="shared" si="9"/>
        <v>25.864</v>
      </c>
      <c r="AB14" s="2">
        <v>0.244</v>
      </c>
    </row>
    <row r="15" ht="15.75" customHeight="1">
      <c r="A15" s="2" t="s">
        <v>88</v>
      </c>
      <c r="B15" s="2">
        <v>590.0</v>
      </c>
      <c r="C15" s="2">
        <v>590.0</v>
      </c>
      <c r="D15" s="2">
        <v>0.0</v>
      </c>
      <c r="E15" s="2">
        <v>14.52</v>
      </c>
      <c r="F15" s="2" t="s">
        <v>27</v>
      </c>
      <c r="G15" s="2" t="s">
        <v>66</v>
      </c>
      <c r="I15" s="2">
        <v>4.2</v>
      </c>
      <c r="J15" s="2">
        <v>20.8</v>
      </c>
      <c r="K15" s="2">
        <v>62.5</v>
      </c>
      <c r="L15" s="2" t="s">
        <v>35</v>
      </c>
      <c r="M15" s="2">
        <v>66.7</v>
      </c>
      <c r="N15" s="2">
        <v>25.0</v>
      </c>
      <c r="O15" s="2" t="s">
        <v>30</v>
      </c>
      <c r="Q15" s="2" t="s">
        <v>31</v>
      </c>
      <c r="R15" s="2">
        <v>0.99</v>
      </c>
      <c r="S15" s="2" t="s">
        <v>32</v>
      </c>
      <c r="T15" s="2" t="s">
        <v>33</v>
      </c>
      <c r="U15" s="2">
        <v>14.0</v>
      </c>
      <c r="V15" s="2" t="s">
        <v>133</v>
      </c>
      <c r="W15" s="8">
        <f t="shared" ref="W15:W17" si="10">B15*X15</f>
        <v>8.85</v>
      </c>
      <c r="X15" s="2">
        <v>0.015</v>
      </c>
      <c r="Y15" s="8">
        <f t="shared" ref="Y15:Y16" si="11">B15*Z15</f>
        <v>17.11</v>
      </c>
      <c r="Z15" s="2">
        <v>0.029</v>
      </c>
      <c r="AA15" s="8">
        <f t="shared" si="9"/>
        <v>24.19</v>
      </c>
      <c r="AB15" s="2">
        <v>0.041</v>
      </c>
      <c r="AC15" s="8">
        <f t="shared" ref="AC15:AC16" si="12">B15*AD15</f>
        <v>1.77</v>
      </c>
      <c r="AD15" s="2">
        <v>0.003</v>
      </c>
    </row>
    <row r="16" ht="15.75" customHeight="1">
      <c r="A16" s="2" t="s">
        <v>89</v>
      </c>
      <c r="B16" s="2">
        <v>1858.0</v>
      </c>
      <c r="C16" s="2">
        <v>1858.0</v>
      </c>
      <c r="D16" s="2">
        <v>0.0</v>
      </c>
      <c r="E16" s="2">
        <v>15.42</v>
      </c>
      <c r="F16" s="2" t="s">
        <v>27</v>
      </c>
      <c r="G16" s="2" t="s">
        <v>66</v>
      </c>
      <c r="H16" s="2">
        <v>6.4</v>
      </c>
      <c r="I16" s="2">
        <v>9.8</v>
      </c>
      <c r="J16" s="2">
        <v>4.5</v>
      </c>
      <c r="K16" s="2">
        <v>9.5</v>
      </c>
      <c r="O16" s="2" t="s">
        <v>30</v>
      </c>
      <c r="P16" s="2" t="s">
        <v>90</v>
      </c>
      <c r="Q16" s="2" t="s">
        <v>37</v>
      </c>
      <c r="R16" s="2">
        <v>0.93</v>
      </c>
      <c r="S16" s="2" t="s">
        <v>32</v>
      </c>
      <c r="T16" s="2" t="s">
        <v>33</v>
      </c>
      <c r="U16" s="2">
        <v>14.0</v>
      </c>
      <c r="V16" s="2" t="s">
        <v>133</v>
      </c>
      <c r="W16" s="8">
        <f t="shared" si="10"/>
        <v>122.628</v>
      </c>
      <c r="X16" s="2">
        <v>0.066</v>
      </c>
      <c r="Y16" s="8">
        <f t="shared" si="11"/>
        <v>109.622</v>
      </c>
      <c r="Z16" s="2">
        <v>0.059</v>
      </c>
      <c r="AA16" s="8">
        <f t="shared" si="9"/>
        <v>208.096</v>
      </c>
      <c r="AB16" s="2">
        <v>0.112</v>
      </c>
      <c r="AC16" s="8">
        <f t="shared" si="12"/>
        <v>22.296</v>
      </c>
      <c r="AD16" s="2">
        <v>0.012</v>
      </c>
    </row>
    <row r="17" ht="15.75" customHeight="1">
      <c r="A17" s="2" t="s">
        <v>91</v>
      </c>
      <c r="B17" s="2">
        <v>1099.0</v>
      </c>
      <c r="C17" s="2">
        <v>1099.0</v>
      </c>
      <c r="D17" s="2">
        <v>0.0</v>
      </c>
      <c r="F17" s="2" t="s">
        <v>45</v>
      </c>
      <c r="G17" s="2" t="s">
        <v>92</v>
      </c>
      <c r="O17" s="2" t="s">
        <v>30</v>
      </c>
      <c r="Q17" s="2" t="s">
        <v>31</v>
      </c>
      <c r="R17" s="2">
        <v>0.96</v>
      </c>
      <c r="S17" s="2" t="s">
        <v>32</v>
      </c>
      <c r="T17" s="2" t="s">
        <v>33</v>
      </c>
      <c r="U17" s="2">
        <v>4.0</v>
      </c>
      <c r="V17" s="2" t="s">
        <v>133</v>
      </c>
      <c r="W17" s="8">
        <f t="shared" si="10"/>
        <v>97.2615</v>
      </c>
      <c r="X17" s="2">
        <v>0.0885</v>
      </c>
      <c r="Y17" s="8"/>
      <c r="AA17" s="8">
        <f t="shared" si="9"/>
        <v>62.3133</v>
      </c>
      <c r="AB17" s="2">
        <v>0.0567</v>
      </c>
    </row>
    <row r="18" ht="15.75" customHeight="1">
      <c r="A18" s="2" t="s">
        <v>95</v>
      </c>
      <c r="B18" s="2">
        <v>194.0</v>
      </c>
      <c r="C18" s="2">
        <v>194.0</v>
      </c>
      <c r="D18" s="2">
        <v>0.0</v>
      </c>
      <c r="F18" s="2" t="s">
        <v>45</v>
      </c>
      <c r="G18" s="2" t="s">
        <v>96</v>
      </c>
      <c r="H18" s="2">
        <v>9.5</v>
      </c>
      <c r="I18" s="2">
        <v>16.9</v>
      </c>
      <c r="J18" s="2">
        <v>21.6</v>
      </c>
      <c r="K18" s="2">
        <v>26.4</v>
      </c>
      <c r="L18" s="2" t="s">
        <v>30</v>
      </c>
      <c r="M18" s="2">
        <v>85.1</v>
      </c>
      <c r="N18" s="2">
        <v>14.9</v>
      </c>
      <c r="O18" s="2" t="s">
        <v>30</v>
      </c>
      <c r="P18" s="2">
        <v>2018.0</v>
      </c>
      <c r="Q18" s="2" t="s">
        <v>31</v>
      </c>
      <c r="S18" s="2" t="s">
        <v>32</v>
      </c>
      <c r="T18" s="2" t="s">
        <v>33</v>
      </c>
      <c r="V18" s="2" t="s">
        <v>60</v>
      </c>
      <c r="W18" s="8"/>
      <c r="Y18" s="8"/>
      <c r="AA18" s="8">
        <f t="shared" si="9"/>
        <v>64.02</v>
      </c>
      <c r="AB18" s="2">
        <v>0.33</v>
      </c>
    </row>
    <row r="19" ht="15.75" customHeight="1">
      <c r="A19" s="2" t="s">
        <v>97</v>
      </c>
      <c r="B19" s="2">
        <v>1091.0</v>
      </c>
      <c r="C19" s="2">
        <v>1091.0</v>
      </c>
      <c r="D19" s="2">
        <v>0.0</v>
      </c>
      <c r="F19" s="2" t="s">
        <v>45</v>
      </c>
      <c r="G19" s="2" t="s">
        <v>46</v>
      </c>
      <c r="O19" s="2" t="s">
        <v>30</v>
      </c>
      <c r="P19" s="2" t="s">
        <v>98</v>
      </c>
      <c r="Q19" s="2" t="s">
        <v>37</v>
      </c>
      <c r="R19" s="2">
        <v>0.96</v>
      </c>
      <c r="S19" s="2" t="s">
        <v>32</v>
      </c>
      <c r="W19" s="8"/>
      <c r="Y19" s="8"/>
      <c r="AA19" s="8">
        <f t="shared" si="9"/>
        <v>198.562</v>
      </c>
      <c r="AB19" s="2">
        <v>0.182</v>
      </c>
    </row>
    <row r="20" ht="15.75" customHeight="1">
      <c r="A20" s="2" t="s">
        <v>104</v>
      </c>
      <c r="B20" s="2">
        <v>9070.0</v>
      </c>
      <c r="C20" s="2">
        <v>9070.0</v>
      </c>
      <c r="D20" s="2">
        <v>0.0</v>
      </c>
      <c r="F20" s="2" t="s">
        <v>39</v>
      </c>
      <c r="G20" s="2" t="s">
        <v>105</v>
      </c>
      <c r="H20" s="2">
        <v>17.5</v>
      </c>
      <c r="I20" s="2">
        <v>34.9</v>
      </c>
      <c r="J20" s="2">
        <v>23.5</v>
      </c>
      <c r="K20" s="2">
        <v>20.6</v>
      </c>
      <c r="L20" s="2" t="s">
        <v>30</v>
      </c>
      <c r="M20" s="2">
        <v>60.1</v>
      </c>
      <c r="N20" s="2">
        <v>39.9</v>
      </c>
      <c r="O20" s="2" t="s">
        <v>30</v>
      </c>
      <c r="W20" s="8"/>
      <c r="Y20" s="8"/>
      <c r="AA20" s="8">
        <f t="shared" si="9"/>
        <v>108.84</v>
      </c>
      <c r="AB20" s="2">
        <v>0.012</v>
      </c>
    </row>
    <row r="21" ht="15.75" customHeight="1">
      <c r="A21" s="2" t="s">
        <v>106</v>
      </c>
      <c r="B21" s="2">
        <v>156.0</v>
      </c>
      <c r="C21" s="2">
        <v>156.0</v>
      </c>
      <c r="D21" s="2">
        <v>0.0</v>
      </c>
      <c r="E21" s="2">
        <v>15.9</v>
      </c>
      <c r="F21" s="2" t="s">
        <v>27</v>
      </c>
      <c r="G21" s="2" t="s">
        <v>107</v>
      </c>
      <c r="O21" s="2" t="s">
        <v>30</v>
      </c>
      <c r="P21" s="2" t="s">
        <v>108</v>
      </c>
      <c r="Q21" s="2" t="s">
        <v>31</v>
      </c>
      <c r="R21" s="2">
        <v>0.81</v>
      </c>
      <c r="S21" s="2" t="s">
        <v>42</v>
      </c>
      <c r="T21" s="2" t="s">
        <v>43</v>
      </c>
      <c r="V21" s="2" t="s">
        <v>133</v>
      </c>
      <c r="W21" s="8"/>
      <c r="Y21" s="8"/>
      <c r="AA21" s="8">
        <f t="shared" si="9"/>
        <v>8.424</v>
      </c>
      <c r="AB21" s="2">
        <v>0.054000000000000006</v>
      </c>
    </row>
    <row r="22" ht="15.75" customHeight="1">
      <c r="A22" s="2" t="s">
        <v>111</v>
      </c>
      <c r="B22" s="2">
        <v>480.0</v>
      </c>
      <c r="C22" s="2">
        <v>480.0</v>
      </c>
      <c r="D22" s="2">
        <v>0.0</v>
      </c>
      <c r="E22" s="2">
        <v>15.04</v>
      </c>
      <c r="F22" s="2" t="s">
        <v>57</v>
      </c>
      <c r="G22" s="2" t="s">
        <v>112</v>
      </c>
      <c r="O22" s="2" t="s">
        <v>30</v>
      </c>
      <c r="P22" s="2" t="s">
        <v>113</v>
      </c>
      <c r="Q22" s="2" t="s">
        <v>37</v>
      </c>
      <c r="S22" s="2" t="s">
        <v>32</v>
      </c>
      <c r="T22" s="2" t="s">
        <v>33</v>
      </c>
      <c r="U22" s="2">
        <v>8.0</v>
      </c>
      <c r="V22" s="2" t="s">
        <v>60</v>
      </c>
      <c r="W22" s="8"/>
      <c r="Y22" s="8"/>
      <c r="AA22" s="8">
        <f t="shared" si="9"/>
        <v>80.64</v>
      </c>
      <c r="AB22" s="2">
        <v>0.168</v>
      </c>
    </row>
    <row r="23" ht="15.75" customHeight="1">
      <c r="A23" s="2" t="s">
        <v>114</v>
      </c>
      <c r="B23" s="2">
        <v>480.0</v>
      </c>
      <c r="C23" s="2">
        <v>480.0</v>
      </c>
      <c r="D23" s="2">
        <v>0.0</v>
      </c>
      <c r="E23" s="2">
        <v>15.04</v>
      </c>
      <c r="F23" s="2" t="s">
        <v>57</v>
      </c>
      <c r="G23" s="2" t="s">
        <v>112</v>
      </c>
      <c r="O23" s="2" t="s">
        <v>30</v>
      </c>
      <c r="P23" s="2" t="s">
        <v>115</v>
      </c>
      <c r="Q23" s="2" t="s">
        <v>31</v>
      </c>
      <c r="S23" s="2" t="s">
        <v>32</v>
      </c>
      <c r="T23" s="2" t="s">
        <v>33</v>
      </c>
      <c r="U23" s="2">
        <v>8.0</v>
      </c>
      <c r="V23" s="2" t="s">
        <v>60</v>
      </c>
      <c r="W23" s="8"/>
      <c r="Y23" s="8"/>
      <c r="AA23" s="8">
        <f t="shared" si="9"/>
        <v>107.04</v>
      </c>
      <c r="AB23" s="2">
        <v>0.223</v>
      </c>
    </row>
    <row r="24" ht="15.75" customHeight="1">
      <c r="A24" s="2" t="s">
        <v>119</v>
      </c>
      <c r="B24" s="2">
        <v>114.0</v>
      </c>
      <c r="C24" s="2">
        <v>114.0</v>
      </c>
      <c r="D24" s="2">
        <v>0.0</v>
      </c>
      <c r="E24" s="2">
        <v>14.16</v>
      </c>
      <c r="F24" s="2" t="s">
        <v>57</v>
      </c>
      <c r="G24" s="2" t="s">
        <v>120</v>
      </c>
      <c r="O24" s="2" t="s">
        <v>30</v>
      </c>
      <c r="P24" s="2">
        <v>2012.0</v>
      </c>
      <c r="Q24" s="2" t="s">
        <v>31</v>
      </c>
      <c r="S24" s="2" t="s">
        <v>32</v>
      </c>
      <c r="T24" s="2" t="s">
        <v>33</v>
      </c>
      <c r="U24" s="2">
        <v>28.0</v>
      </c>
      <c r="V24" s="2" t="s">
        <v>133</v>
      </c>
      <c r="W24" s="8"/>
      <c r="Y24" s="8"/>
      <c r="AA24" s="8">
        <f t="shared" si="9"/>
        <v>5.016</v>
      </c>
      <c r="AB24" s="2">
        <v>0.044000000000000004</v>
      </c>
    </row>
    <row r="25" ht="15.75" customHeight="1">
      <c r="A25" s="2" t="s">
        <v>121</v>
      </c>
      <c r="B25" s="2">
        <v>4339.0</v>
      </c>
      <c r="C25" s="2">
        <v>4330.0</v>
      </c>
      <c r="D25" s="2">
        <v>0.0</v>
      </c>
      <c r="E25" s="2">
        <v>15.37</v>
      </c>
      <c r="F25" s="2" t="s">
        <v>45</v>
      </c>
      <c r="G25" s="2" t="s">
        <v>46</v>
      </c>
      <c r="O25" s="2" t="s">
        <v>30</v>
      </c>
      <c r="P25" s="2" t="s">
        <v>122</v>
      </c>
      <c r="Q25" s="2" t="s">
        <v>31</v>
      </c>
      <c r="R25" s="2">
        <v>0.982</v>
      </c>
      <c r="S25" s="2" t="s">
        <v>32</v>
      </c>
      <c r="T25" s="2" t="s">
        <v>33</v>
      </c>
      <c r="U25" s="2">
        <v>7.0</v>
      </c>
      <c r="V25" s="2" t="s">
        <v>133</v>
      </c>
      <c r="W25" s="8">
        <f t="shared" ref="W25:W26" si="13">B25*X25</f>
        <v>212.611</v>
      </c>
      <c r="X25" s="2">
        <v>0.049</v>
      </c>
      <c r="Y25" s="8">
        <f t="shared" ref="Y25:Y26" si="14">B25*Z25</f>
        <v>295.052</v>
      </c>
      <c r="Z25" s="2">
        <v>0.068</v>
      </c>
      <c r="AA25" s="8">
        <f t="shared" si="9"/>
        <v>611.799</v>
      </c>
      <c r="AB25" s="2">
        <v>0.141</v>
      </c>
      <c r="AC25" s="8">
        <f t="shared" ref="AC25:AC26" si="15">B25*AD25</f>
        <v>104.136</v>
      </c>
      <c r="AD25" s="2">
        <v>0.024</v>
      </c>
    </row>
    <row r="26" ht="15.75" customHeight="1">
      <c r="A26" s="2" t="s">
        <v>125</v>
      </c>
      <c r="B26" s="2">
        <v>497.0</v>
      </c>
      <c r="C26" s="2">
        <v>497.0</v>
      </c>
      <c r="D26" s="2">
        <v>0.0</v>
      </c>
      <c r="E26" s="2">
        <v>14.3</v>
      </c>
      <c r="F26" s="2" t="s">
        <v>45</v>
      </c>
      <c r="G26" s="2" t="s">
        <v>46</v>
      </c>
      <c r="O26" s="2" t="s">
        <v>30</v>
      </c>
      <c r="P26" s="2" t="s">
        <v>126</v>
      </c>
      <c r="Q26" s="2" t="s">
        <v>31</v>
      </c>
      <c r="S26" s="2" t="s">
        <v>32</v>
      </c>
      <c r="T26" s="2" t="s">
        <v>33</v>
      </c>
      <c r="U26" s="2">
        <v>12.0</v>
      </c>
      <c r="V26" s="2" t="s">
        <v>133</v>
      </c>
      <c r="W26" s="8">
        <f t="shared" si="13"/>
        <v>8.946</v>
      </c>
      <c r="X26" s="2">
        <v>0.018000000000000002</v>
      </c>
      <c r="Y26" s="8">
        <f t="shared" si="14"/>
        <v>90.454</v>
      </c>
      <c r="Z26" s="2">
        <v>0.182</v>
      </c>
      <c r="AA26" s="8">
        <f t="shared" si="9"/>
        <v>30.814</v>
      </c>
      <c r="AB26" s="2">
        <v>0.062</v>
      </c>
      <c r="AC26" s="8">
        <f t="shared" si="15"/>
        <v>17.892</v>
      </c>
      <c r="AD26" s="2">
        <v>0.036000000000000004</v>
      </c>
    </row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30" width="10.56"/>
  </cols>
  <sheetData>
    <row r="1" ht="15.7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129</v>
      </c>
      <c r="X1" s="1" t="s">
        <v>22</v>
      </c>
      <c r="Y1" s="1" t="s">
        <v>130</v>
      </c>
      <c r="Z1" s="1" t="s">
        <v>23</v>
      </c>
      <c r="AA1" s="1"/>
      <c r="AB1" s="1" t="s">
        <v>24</v>
      </c>
      <c r="AC1" s="1"/>
      <c r="AD1" s="1" t="s">
        <v>25</v>
      </c>
    </row>
    <row r="2" ht="15.75" customHeight="1">
      <c r="A2" s="2" t="s">
        <v>26</v>
      </c>
      <c r="B2" s="2">
        <v>3175.0</v>
      </c>
      <c r="C2" s="2">
        <v>1552.0</v>
      </c>
      <c r="D2" s="2">
        <v>1623.0</v>
      </c>
      <c r="E2" s="2">
        <v>13.41</v>
      </c>
      <c r="F2" s="2" t="s">
        <v>27</v>
      </c>
      <c r="G2" s="2" t="s">
        <v>28</v>
      </c>
      <c r="H2" s="2">
        <v>59.28</v>
      </c>
      <c r="I2" s="2">
        <v>7.15</v>
      </c>
      <c r="J2" s="2">
        <v>31.3</v>
      </c>
      <c r="M2" s="2">
        <v>37.57</v>
      </c>
      <c r="N2" s="2">
        <v>30.33</v>
      </c>
      <c r="O2" s="2" t="s">
        <v>35</v>
      </c>
      <c r="P2" s="2">
        <v>2011.0</v>
      </c>
      <c r="Q2" s="2" t="s">
        <v>31</v>
      </c>
      <c r="R2" s="2">
        <v>0.87</v>
      </c>
      <c r="S2" s="2" t="s">
        <v>32</v>
      </c>
      <c r="T2" s="2" t="s">
        <v>33</v>
      </c>
      <c r="U2" s="2">
        <v>52.0</v>
      </c>
      <c r="V2" s="2" t="s">
        <v>34</v>
      </c>
      <c r="W2" s="8">
        <f t="shared" ref="W2:W4" si="1">B2*X2</f>
        <v>149.225</v>
      </c>
      <c r="X2" s="2">
        <v>0.047</v>
      </c>
      <c r="Y2" s="8">
        <f t="shared" ref="Y2:Y3" si="2">B2*Z2</f>
        <v>279.4</v>
      </c>
      <c r="Z2" s="2">
        <v>0.08800000000000001</v>
      </c>
      <c r="AB2" s="2">
        <v>0.10800000000000001</v>
      </c>
    </row>
    <row r="3" ht="15.75" customHeight="1">
      <c r="A3" s="2" t="s">
        <v>36</v>
      </c>
      <c r="B3" s="2">
        <v>3175.0</v>
      </c>
      <c r="C3" s="2">
        <v>1552.0</v>
      </c>
      <c r="D3" s="2">
        <v>1623.0</v>
      </c>
      <c r="E3" s="2">
        <v>13.41</v>
      </c>
      <c r="F3" s="2" t="s">
        <v>27</v>
      </c>
      <c r="G3" s="2" t="s">
        <v>28</v>
      </c>
      <c r="H3" s="2">
        <v>74.64</v>
      </c>
      <c r="I3" s="2">
        <v>7.26</v>
      </c>
      <c r="J3" s="2">
        <v>15.01</v>
      </c>
      <c r="M3" s="2">
        <v>37.57</v>
      </c>
      <c r="N3" s="2">
        <v>30.33</v>
      </c>
      <c r="O3" s="2" t="s">
        <v>35</v>
      </c>
      <c r="P3" s="2">
        <v>2011.0</v>
      </c>
      <c r="Q3" s="2" t="s">
        <v>37</v>
      </c>
      <c r="R3" s="2">
        <v>0.87</v>
      </c>
      <c r="S3" s="2" t="s">
        <v>32</v>
      </c>
      <c r="T3" s="2" t="s">
        <v>33</v>
      </c>
      <c r="U3" s="2">
        <v>52.0</v>
      </c>
      <c r="V3" s="2" t="s">
        <v>34</v>
      </c>
      <c r="W3" s="8">
        <f t="shared" si="1"/>
        <v>107.95</v>
      </c>
      <c r="X3" s="2">
        <v>0.034</v>
      </c>
      <c r="Y3" s="8">
        <f t="shared" si="2"/>
        <v>200.025</v>
      </c>
      <c r="Z3" s="2">
        <v>0.063</v>
      </c>
      <c r="AB3" s="2">
        <v>0.077</v>
      </c>
    </row>
    <row r="4" ht="15.75" customHeight="1">
      <c r="A4" s="2" t="s">
        <v>38</v>
      </c>
      <c r="B4" s="2">
        <v>110.0</v>
      </c>
      <c r="C4" s="2">
        <v>86.0</v>
      </c>
      <c r="D4" s="2">
        <v>24.0</v>
      </c>
      <c r="F4" s="2" t="s">
        <v>39</v>
      </c>
      <c r="G4" s="2" t="s">
        <v>40</v>
      </c>
      <c r="O4" s="2" t="s">
        <v>35</v>
      </c>
      <c r="P4" s="2" t="s">
        <v>41</v>
      </c>
      <c r="Q4" s="2" t="s">
        <v>37</v>
      </c>
      <c r="R4" s="2">
        <v>1.0</v>
      </c>
      <c r="S4" s="2" t="s">
        <v>42</v>
      </c>
      <c r="T4" s="2" t="s">
        <v>43</v>
      </c>
      <c r="W4" s="8">
        <f t="shared" si="1"/>
        <v>1.87</v>
      </c>
      <c r="X4" s="2">
        <v>0.017</v>
      </c>
      <c r="Y4" s="8"/>
    </row>
    <row r="5" ht="15.75" customHeight="1">
      <c r="A5" s="2" t="s">
        <v>50</v>
      </c>
      <c r="B5" s="2">
        <v>18341.0</v>
      </c>
      <c r="C5" s="2">
        <v>9773.0</v>
      </c>
      <c r="D5" s="2">
        <v>8568.0</v>
      </c>
      <c r="E5" s="2">
        <v>15.86</v>
      </c>
      <c r="F5" s="2" t="s">
        <v>45</v>
      </c>
      <c r="G5" s="2" t="s">
        <v>46</v>
      </c>
      <c r="O5" s="2" t="s">
        <v>35</v>
      </c>
      <c r="P5" s="2" t="s">
        <v>52</v>
      </c>
      <c r="Q5" s="2" t="s">
        <v>31</v>
      </c>
      <c r="R5" s="2">
        <v>0.96</v>
      </c>
      <c r="S5" s="2" t="s">
        <v>32</v>
      </c>
      <c r="T5" s="2" t="s">
        <v>33</v>
      </c>
      <c r="U5" s="2">
        <v>12.0</v>
      </c>
      <c r="V5" s="2" t="s">
        <v>34</v>
      </c>
      <c r="W5" s="8"/>
      <c r="Y5" s="8">
        <f t="shared" ref="Y5:Y6" si="3">B5*Z5</f>
        <v>458.525</v>
      </c>
      <c r="Z5" s="2">
        <v>0.025</v>
      </c>
      <c r="AB5" s="2">
        <v>0.078</v>
      </c>
      <c r="AD5" s="2">
        <v>0.022000000000000002</v>
      </c>
    </row>
    <row r="6" ht="15.75" customHeight="1">
      <c r="A6" s="2" t="s">
        <v>53</v>
      </c>
      <c r="B6" s="2">
        <v>18341.0</v>
      </c>
      <c r="C6" s="2">
        <v>9773.0</v>
      </c>
      <c r="D6" s="2">
        <v>8568.0</v>
      </c>
      <c r="E6" s="2">
        <v>15.86</v>
      </c>
      <c r="F6" s="2" t="s">
        <v>45</v>
      </c>
      <c r="G6" s="2" t="s">
        <v>46</v>
      </c>
      <c r="O6" s="2" t="s">
        <v>35</v>
      </c>
      <c r="P6" s="2" t="s">
        <v>55</v>
      </c>
      <c r="Q6" s="2" t="s">
        <v>37</v>
      </c>
      <c r="R6" s="2">
        <v>0.96</v>
      </c>
      <c r="S6" s="2" t="s">
        <v>32</v>
      </c>
      <c r="T6" s="2" t="s">
        <v>33</v>
      </c>
      <c r="U6" s="2">
        <v>12.0</v>
      </c>
      <c r="V6" s="2" t="s">
        <v>34</v>
      </c>
      <c r="W6" s="8"/>
      <c r="Y6" s="8">
        <f t="shared" si="3"/>
        <v>366.82</v>
      </c>
      <c r="Z6" s="2">
        <v>0.02</v>
      </c>
      <c r="AB6" s="2">
        <v>0.06</v>
      </c>
      <c r="AD6" s="2">
        <v>0.018000000000000002</v>
      </c>
    </row>
    <row r="7" ht="15.75" customHeight="1">
      <c r="A7" s="2" t="s">
        <v>65</v>
      </c>
      <c r="B7" s="2">
        <v>30.0</v>
      </c>
      <c r="C7" s="2">
        <v>22.0</v>
      </c>
      <c r="D7" s="2">
        <v>8.0</v>
      </c>
      <c r="E7" s="2">
        <v>16.33</v>
      </c>
      <c r="F7" s="2" t="s">
        <v>27</v>
      </c>
      <c r="G7" s="2" t="s">
        <v>66</v>
      </c>
      <c r="L7" s="2" t="s">
        <v>30</v>
      </c>
      <c r="M7" s="3">
        <v>1.0</v>
      </c>
      <c r="O7" s="2" t="s">
        <v>35</v>
      </c>
      <c r="Q7" s="2" t="s">
        <v>37</v>
      </c>
      <c r="R7" s="2">
        <v>0.71</v>
      </c>
      <c r="S7" s="2" t="s">
        <v>42</v>
      </c>
      <c r="T7" s="2" t="s">
        <v>43</v>
      </c>
      <c r="U7" s="2">
        <v>17.0</v>
      </c>
      <c r="V7" s="2" t="s">
        <v>34</v>
      </c>
      <c r="W7" s="8"/>
      <c r="Y7" s="8"/>
      <c r="AB7" s="2">
        <v>0.22</v>
      </c>
    </row>
    <row r="8" ht="15.75" customHeight="1">
      <c r="A8" s="2" t="s">
        <v>70</v>
      </c>
      <c r="B8" s="2">
        <v>11364.0</v>
      </c>
      <c r="C8" s="2">
        <v>5682.0</v>
      </c>
      <c r="D8" s="2">
        <v>5682.0</v>
      </c>
      <c r="F8" s="2" t="s">
        <v>27</v>
      </c>
      <c r="G8" s="2" t="s">
        <v>71</v>
      </c>
      <c r="O8" s="2" t="s">
        <v>35</v>
      </c>
      <c r="P8" s="2">
        <v>2013.0</v>
      </c>
      <c r="R8" s="2">
        <v>0.75</v>
      </c>
      <c r="S8" s="2" t="s">
        <v>32</v>
      </c>
      <c r="T8" s="2" t="s">
        <v>33</v>
      </c>
      <c r="V8" s="2" t="s">
        <v>60</v>
      </c>
      <c r="W8" s="8"/>
      <c r="Y8" s="8"/>
      <c r="AB8" s="2">
        <v>0.024</v>
      </c>
    </row>
    <row r="9" ht="15.75" customHeight="1">
      <c r="A9" s="2" t="s">
        <v>72</v>
      </c>
      <c r="B9" s="2">
        <v>11354.0</v>
      </c>
      <c r="C9" s="2">
        <v>5677.0</v>
      </c>
      <c r="D9" s="2">
        <v>5677.0</v>
      </c>
      <c r="E9" s="2">
        <v>14.0</v>
      </c>
      <c r="F9" s="2" t="s">
        <v>27</v>
      </c>
      <c r="G9" s="2" t="s">
        <v>71</v>
      </c>
      <c r="H9" s="2">
        <v>16.0</v>
      </c>
      <c r="J9" s="2">
        <v>35.0</v>
      </c>
      <c r="K9" s="2">
        <v>22.0</v>
      </c>
      <c r="O9" s="2" t="s">
        <v>35</v>
      </c>
      <c r="P9" s="2">
        <v>2013.0</v>
      </c>
      <c r="R9" s="2">
        <v>0.75</v>
      </c>
      <c r="S9" s="2" t="s">
        <v>32</v>
      </c>
      <c r="T9" s="2" t="s">
        <v>33</v>
      </c>
      <c r="V9" s="2" t="s">
        <v>34</v>
      </c>
      <c r="W9" s="8"/>
      <c r="Y9" s="8"/>
      <c r="AB9" s="2">
        <v>0.024</v>
      </c>
    </row>
    <row r="10" ht="15.75" customHeight="1">
      <c r="A10" s="2" t="s">
        <v>73</v>
      </c>
      <c r="B10" s="2">
        <v>683.0</v>
      </c>
      <c r="C10" s="2">
        <v>326.0</v>
      </c>
      <c r="D10" s="2">
        <v>346.0</v>
      </c>
      <c r="E10" s="2">
        <v>12.87</v>
      </c>
      <c r="F10" s="2" t="s">
        <v>45</v>
      </c>
      <c r="G10" s="2" t="s">
        <v>46</v>
      </c>
      <c r="O10" s="2" t="s">
        <v>35</v>
      </c>
      <c r="P10" s="2">
        <v>2009.0</v>
      </c>
      <c r="Q10" s="2" t="s">
        <v>31</v>
      </c>
      <c r="R10" s="2">
        <v>0.98</v>
      </c>
      <c r="S10" s="2" t="s">
        <v>32</v>
      </c>
      <c r="T10" s="2" t="s">
        <v>33</v>
      </c>
      <c r="U10" s="2">
        <v>12.0</v>
      </c>
      <c r="V10" s="2" t="s">
        <v>34</v>
      </c>
      <c r="W10" s="8">
        <f>B10*X10</f>
        <v>83.326</v>
      </c>
      <c r="X10" s="2">
        <v>0.122</v>
      </c>
      <c r="Y10" s="8">
        <f>B10*Z10</f>
        <v>111.329</v>
      </c>
      <c r="Z10" s="2">
        <v>0.163</v>
      </c>
      <c r="AB10" s="2">
        <v>0.18</v>
      </c>
    </row>
    <row r="11" ht="15.75" customHeight="1">
      <c r="A11" s="2" t="s">
        <v>75</v>
      </c>
      <c r="B11" s="2">
        <v>906.0</v>
      </c>
      <c r="C11" s="2">
        <v>463.0</v>
      </c>
      <c r="D11" s="2">
        <v>443.0</v>
      </c>
      <c r="F11" s="2" t="s">
        <v>45</v>
      </c>
      <c r="G11" s="2" t="s">
        <v>76</v>
      </c>
      <c r="O11" s="2" t="s">
        <v>35</v>
      </c>
      <c r="P11" s="2" t="s">
        <v>79</v>
      </c>
      <c r="Q11" s="2" t="s">
        <v>37</v>
      </c>
      <c r="R11" s="2">
        <v>0.6</v>
      </c>
      <c r="S11" s="2" t="s">
        <v>78</v>
      </c>
      <c r="T11" s="2" t="s">
        <v>43</v>
      </c>
      <c r="W11" s="8"/>
      <c r="Y11" s="8"/>
      <c r="AB11" s="2">
        <v>0.033</v>
      </c>
    </row>
    <row r="12" ht="15.75" customHeight="1">
      <c r="A12" s="2" t="s">
        <v>84</v>
      </c>
      <c r="B12" s="2">
        <v>226.0</v>
      </c>
      <c r="C12" s="2">
        <v>106.0</v>
      </c>
      <c r="D12" s="2">
        <v>120.0</v>
      </c>
      <c r="F12" s="2" t="s">
        <v>39</v>
      </c>
      <c r="G12" s="2" t="s">
        <v>40</v>
      </c>
      <c r="M12" s="2">
        <v>69.5</v>
      </c>
      <c r="N12" s="2">
        <v>26.5</v>
      </c>
      <c r="O12" s="2" t="s">
        <v>35</v>
      </c>
      <c r="P12" s="2">
        <v>2000.0</v>
      </c>
      <c r="Q12" s="2" t="s">
        <v>37</v>
      </c>
      <c r="R12" s="2">
        <v>0.29</v>
      </c>
      <c r="S12" s="2" t="s">
        <v>42</v>
      </c>
      <c r="T12" s="2" t="s">
        <v>33</v>
      </c>
      <c r="V12" s="2" t="s">
        <v>34</v>
      </c>
      <c r="W12" s="8"/>
      <c r="Y12" s="8"/>
      <c r="AB12" s="2">
        <v>0.381</v>
      </c>
    </row>
    <row r="13" ht="15.75" customHeight="1">
      <c r="A13" s="2" t="s">
        <v>88</v>
      </c>
      <c r="B13" s="2">
        <v>1105.0</v>
      </c>
      <c r="C13" s="2">
        <v>590.0</v>
      </c>
      <c r="D13" s="2">
        <v>515.0</v>
      </c>
      <c r="E13" s="2">
        <v>14.52</v>
      </c>
      <c r="F13" s="2" t="s">
        <v>27</v>
      </c>
      <c r="G13" s="2" t="s">
        <v>66</v>
      </c>
      <c r="I13" s="2">
        <v>7.2</v>
      </c>
      <c r="J13" s="2">
        <v>37.1</v>
      </c>
      <c r="K13" s="2">
        <v>52.6</v>
      </c>
      <c r="L13" s="2" t="s">
        <v>35</v>
      </c>
      <c r="M13" s="2">
        <v>87.6</v>
      </c>
      <c r="N13" s="2">
        <v>13.4</v>
      </c>
      <c r="O13" s="2" t="s">
        <v>35</v>
      </c>
      <c r="Q13" s="2" t="s">
        <v>31</v>
      </c>
      <c r="R13" s="2">
        <v>0.99</v>
      </c>
      <c r="S13" s="2" t="s">
        <v>32</v>
      </c>
      <c r="T13" s="2" t="s">
        <v>33</v>
      </c>
      <c r="U13" s="2">
        <v>14.0</v>
      </c>
      <c r="V13" s="2" t="s">
        <v>34</v>
      </c>
      <c r="W13" s="8">
        <f t="shared" ref="W13:W15" si="4">B13*X13</f>
        <v>36.465</v>
      </c>
      <c r="X13" s="2">
        <v>0.033</v>
      </c>
      <c r="Y13" s="8">
        <f t="shared" ref="Y13:Y15" si="5">B13*Z13</f>
        <v>68.51</v>
      </c>
      <c r="Z13" s="2">
        <v>0.062</v>
      </c>
      <c r="AB13" s="2">
        <v>0.088</v>
      </c>
      <c r="AD13" s="2">
        <v>0.008</v>
      </c>
    </row>
    <row r="14" ht="15.75" customHeight="1">
      <c r="A14" s="2" t="s">
        <v>89</v>
      </c>
      <c r="B14" s="2">
        <v>3919.0</v>
      </c>
      <c r="C14" s="2">
        <v>1858.0</v>
      </c>
      <c r="D14" s="2">
        <v>2061.0</v>
      </c>
      <c r="E14" s="2">
        <v>15.42</v>
      </c>
      <c r="F14" s="2" t="s">
        <v>27</v>
      </c>
      <c r="G14" s="2" t="s">
        <v>66</v>
      </c>
      <c r="H14" s="2">
        <v>7.8</v>
      </c>
      <c r="I14" s="2">
        <v>9.8</v>
      </c>
      <c r="J14" s="2">
        <v>5.6</v>
      </c>
      <c r="K14" s="2">
        <v>13.600000000000001</v>
      </c>
      <c r="O14" s="2" t="s">
        <v>35</v>
      </c>
      <c r="P14" s="2" t="s">
        <v>90</v>
      </c>
      <c r="Q14" s="2" t="s">
        <v>37</v>
      </c>
      <c r="R14" s="2">
        <v>0.93</v>
      </c>
      <c r="S14" s="2" t="s">
        <v>32</v>
      </c>
      <c r="T14" s="2" t="s">
        <v>33</v>
      </c>
      <c r="U14" s="2">
        <v>14.0</v>
      </c>
      <c r="V14" s="2" t="s">
        <v>34</v>
      </c>
      <c r="W14" s="8">
        <f t="shared" si="4"/>
        <v>387.981</v>
      </c>
      <c r="X14" s="2">
        <v>0.099</v>
      </c>
      <c r="Y14" s="8">
        <f t="shared" si="5"/>
        <v>474.199</v>
      </c>
      <c r="Z14" s="2">
        <v>0.121</v>
      </c>
      <c r="AB14" s="2">
        <v>0.178</v>
      </c>
      <c r="AD14" s="2">
        <v>0.009</v>
      </c>
    </row>
    <row r="15" ht="15.75" customHeight="1">
      <c r="A15" s="2" t="s">
        <v>93</v>
      </c>
      <c r="B15" s="2">
        <v>73.0</v>
      </c>
      <c r="C15" s="2">
        <v>15.0</v>
      </c>
      <c r="D15" s="2">
        <v>58.0</v>
      </c>
      <c r="E15" s="2">
        <v>13.34</v>
      </c>
      <c r="F15" s="2" t="s">
        <v>94</v>
      </c>
      <c r="G15" s="2" t="s">
        <v>94</v>
      </c>
      <c r="O15" s="2" t="s">
        <v>35</v>
      </c>
      <c r="P15" s="2">
        <v>2011.0</v>
      </c>
      <c r="Q15" s="2" t="s">
        <v>37</v>
      </c>
      <c r="R15" s="2">
        <v>0.61</v>
      </c>
      <c r="S15" s="2" t="s">
        <v>42</v>
      </c>
      <c r="T15" s="2" t="s">
        <v>43</v>
      </c>
      <c r="W15" s="8">
        <f t="shared" si="4"/>
        <v>27.01</v>
      </c>
      <c r="X15" s="2">
        <v>0.37</v>
      </c>
      <c r="Y15" s="8">
        <f t="shared" si="5"/>
        <v>14.965</v>
      </c>
      <c r="Z15" s="2">
        <v>0.205</v>
      </c>
      <c r="AD15" s="2">
        <v>0.27399999999999997</v>
      </c>
    </row>
    <row r="16" ht="15.75" customHeight="1">
      <c r="A16" s="2" t="s">
        <v>95</v>
      </c>
      <c r="B16" s="2">
        <v>452.0</v>
      </c>
      <c r="C16" s="2">
        <v>194.0</v>
      </c>
      <c r="D16" s="2">
        <v>258.0</v>
      </c>
      <c r="F16" s="2" t="s">
        <v>45</v>
      </c>
      <c r="G16" s="2" t="s">
        <v>96</v>
      </c>
      <c r="H16" s="2">
        <v>9.5</v>
      </c>
      <c r="I16" s="2">
        <v>16.9</v>
      </c>
      <c r="J16" s="2">
        <v>21.6</v>
      </c>
      <c r="K16" s="2">
        <v>26.4</v>
      </c>
      <c r="L16" s="2" t="s">
        <v>30</v>
      </c>
      <c r="M16" s="2">
        <v>85.1</v>
      </c>
      <c r="N16" s="2">
        <v>14.9</v>
      </c>
      <c r="O16" s="2" t="s">
        <v>35</v>
      </c>
      <c r="P16" s="2">
        <v>2018.0</v>
      </c>
      <c r="Q16" s="2" t="s">
        <v>31</v>
      </c>
      <c r="S16" s="2" t="s">
        <v>32</v>
      </c>
      <c r="T16" s="2" t="s">
        <v>33</v>
      </c>
      <c r="V16" s="2" t="s">
        <v>60</v>
      </c>
      <c r="W16" s="8"/>
      <c r="Y16" s="8"/>
      <c r="AB16" s="2">
        <v>0.327</v>
      </c>
    </row>
    <row r="17" ht="15.75" customHeight="1">
      <c r="A17" s="2" t="s">
        <v>97</v>
      </c>
      <c r="B17" s="2">
        <v>2292.0</v>
      </c>
      <c r="C17" s="2">
        <v>1091.0</v>
      </c>
      <c r="D17" s="2">
        <v>1201.0</v>
      </c>
      <c r="F17" s="2" t="s">
        <v>45</v>
      </c>
      <c r="G17" s="2" t="s">
        <v>46</v>
      </c>
      <c r="O17" s="2" t="s">
        <v>35</v>
      </c>
      <c r="P17" s="2" t="s">
        <v>100</v>
      </c>
      <c r="Q17" s="2" t="s">
        <v>37</v>
      </c>
      <c r="R17" s="2">
        <v>0.96</v>
      </c>
      <c r="S17" s="2" t="s">
        <v>32</v>
      </c>
      <c r="W17" s="8"/>
      <c r="Y17" s="8"/>
      <c r="AB17" s="2">
        <v>0.154</v>
      </c>
    </row>
    <row r="18" ht="15.75" customHeight="1">
      <c r="A18" s="2" t="s">
        <v>101</v>
      </c>
      <c r="B18" s="2">
        <v>1028.0</v>
      </c>
      <c r="C18" s="2">
        <v>556.0</v>
      </c>
      <c r="D18" s="2">
        <v>472.0</v>
      </c>
      <c r="E18" s="2">
        <v>11.89</v>
      </c>
      <c r="F18" s="2" t="s">
        <v>45</v>
      </c>
      <c r="G18" s="2" t="s">
        <v>102</v>
      </c>
      <c r="O18" s="2" t="s">
        <v>35</v>
      </c>
      <c r="P18" s="2">
        <v>2006.0</v>
      </c>
      <c r="Q18" s="2" t="s">
        <v>37</v>
      </c>
      <c r="R18" s="2">
        <v>0.99</v>
      </c>
      <c r="S18" s="2" t="s">
        <v>42</v>
      </c>
      <c r="U18" s="2">
        <v>35.0</v>
      </c>
      <c r="V18" s="2" t="s">
        <v>34</v>
      </c>
      <c r="W18" s="8"/>
      <c r="Y18" s="8"/>
      <c r="AB18" s="2">
        <v>0.11</v>
      </c>
    </row>
    <row r="19" ht="15.75" customHeight="1">
      <c r="A19" s="2" t="s">
        <v>103</v>
      </c>
      <c r="B19" s="2">
        <v>1028.0</v>
      </c>
      <c r="C19" s="2">
        <v>556.0</v>
      </c>
      <c r="D19" s="2">
        <v>472.0</v>
      </c>
      <c r="E19" s="2">
        <v>11.89</v>
      </c>
      <c r="F19" s="2" t="s">
        <v>45</v>
      </c>
      <c r="G19" s="2" t="s">
        <v>102</v>
      </c>
      <c r="O19" s="2" t="s">
        <v>35</v>
      </c>
      <c r="P19" s="2">
        <v>2006.0</v>
      </c>
      <c r="Q19" s="2" t="s">
        <v>37</v>
      </c>
      <c r="R19" s="2">
        <v>0.99</v>
      </c>
      <c r="S19" s="2" t="s">
        <v>42</v>
      </c>
      <c r="U19" s="2">
        <v>35.0</v>
      </c>
      <c r="V19" s="2" t="s">
        <v>34</v>
      </c>
      <c r="W19" s="8"/>
      <c r="Y19" s="8"/>
      <c r="AB19" s="2">
        <v>0.09</v>
      </c>
    </row>
    <row r="20" ht="15.75" customHeight="1">
      <c r="A20" s="2" t="s">
        <v>104</v>
      </c>
      <c r="B20" s="2">
        <v>17925.0</v>
      </c>
      <c r="C20" s="2">
        <v>9070.0</v>
      </c>
      <c r="D20" s="2">
        <v>8855.0</v>
      </c>
      <c r="F20" s="2" t="s">
        <v>39</v>
      </c>
      <c r="G20" s="2" t="s">
        <v>105</v>
      </c>
      <c r="H20" s="2">
        <v>18.7</v>
      </c>
      <c r="I20" s="2">
        <v>46.1</v>
      </c>
      <c r="J20" s="2">
        <v>21.6</v>
      </c>
      <c r="K20" s="2">
        <v>12.0</v>
      </c>
      <c r="L20" s="2" t="s">
        <v>30</v>
      </c>
      <c r="M20" s="2">
        <v>89.0</v>
      </c>
      <c r="N20" s="2">
        <v>11.0</v>
      </c>
      <c r="O20" s="2" t="s">
        <v>35</v>
      </c>
      <c r="P20" s="2" t="s">
        <v>62</v>
      </c>
      <c r="Q20" s="2" t="s">
        <v>31</v>
      </c>
      <c r="S20" s="2" t="s">
        <v>78</v>
      </c>
      <c r="W20" s="8"/>
      <c r="Y20" s="8"/>
      <c r="AB20" s="2">
        <v>0.025</v>
      </c>
    </row>
    <row r="21" ht="15.75" customHeight="1">
      <c r="A21" s="2" t="s">
        <v>111</v>
      </c>
      <c r="B21" s="2">
        <v>1120.0</v>
      </c>
      <c r="C21" s="2">
        <v>480.0</v>
      </c>
      <c r="D21" s="2">
        <v>640.0</v>
      </c>
      <c r="E21" s="2">
        <v>15.04</v>
      </c>
      <c r="F21" s="2" t="s">
        <v>57</v>
      </c>
      <c r="G21" s="2" t="s">
        <v>112</v>
      </c>
      <c r="O21" s="2" t="s">
        <v>35</v>
      </c>
      <c r="P21" s="2" t="s">
        <v>113</v>
      </c>
      <c r="Q21" s="2" t="s">
        <v>37</v>
      </c>
      <c r="S21" s="2" t="s">
        <v>32</v>
      </c>
      <c r="T21" s="2" t="s">
        <v>33</v>
      </c>
      <c r="U21" s="2">
        <v>8.0</v>
      </c>
      <c r="V21" s="2" t="s">
        <v>60</v>
      </c>
      <c r="W21" s="8"/>
      <c r="Y21" s="8"/>
      <c r="AB21" s="2">
        <v>0.1518</v>
      </c>
    </row>
    <row r="22" ht="15.75" customHeight="1">
      <c r="A22" s="2" t="s">
        <v>114</v>
      </c>
      <c r="B22" s="2">
        <v>1120.0</v>
      </c>
      <c r="C22" s="2">
        <v>480.0</v>
      </c>
      <c r="D22" s="2">
        <v>640.0</v>
      </c>
      <c r="E22" s="2">
        <v>15.04</v>
      </c>
      <c r="F22" s="2" t="s">
        <v>57</v>
      </c>
      <c r="G22" s="2" t="s">
        <v>112</v>
      </c>
      <c r="O22" s="2" t="s">
        <v>35</v>
      </c>
      <c r="P22" s="2" t="s">
        <v>113</v>
      </c>
      <c r="Q22" s="2" t="s">
        <v>31</v>
      </c>
      <c r="S22" s="2" t="s">
        <v>32</v>
      </c>
      <c r="T22" s="2" t="s">
        <v>33</v>
      </c>
      <c r="U22" s="2">
        <v>8.0</v>
      </c>
      <c r="V22" s="2" t="s">
        <v>60</v>
      </c>
      <c r="W22" s="8"/>
      <c r="Y22" s="8"/>
      <c r="AB22" s="2">
        <v>0.2054</v>
      </c>
    </row>
    <row r="23" ht="15.75" customHeight="1">
      <c r="A23" s="2" t="s">
        <v>117</v>
      </c>
      <c r="B23" s="2">
        <v>284.0</v>
      </c>
      <c r="C23" s="2">
        <v>127.0</v>
      </c>
      <c r="D23" s="2">
        <v>134.0</v>
      </c>
      <c r="F23" s="2" t="s">
        <v>45</v>
      </c>
      <c r="G23" s="2" t="s">
        <v>46</v>
      </c>
      <c r="O23" s="2" t="s">
        <v>35</v>
      </c>
      <c r="P23" s="2">
        <v>2015.0</v>
      </c>
      <c r="Q23" s="2" t="s">
        <v>31</v>
      </c>
      <c r="S23" s="2" t="s">
        <v>32</v>
      </c>
      <c r="T23" s="2" t="s">
        <v>33</v>
      </c>
      <c r="U23" s="2">
        <v>10.0</v>
      </c>
      <c r="V23" s="2" t="s">
        <v>34</v>
      </c>
      <c r="W23" s="8"/>
      <c r="Y23" s="8"/>
      <c r="AB23" s="2">
        <v>0.2289</v>
      </c>
    </row>
    <row r="24" ht="15.75" customHeight="1">
      <c r="A24" s="2" t="s">
        <v>118</v>
      </c>
      <c r="B24" s="2">
        <v>746.0</v>
      </c>
      <c r="C24" s="2">
        <v>358.0</v>
      </c>
      <c r="D24" s="2">
        <v>388.0</v>
      </c>
      <c r="F24" s="2" t="s">
        <v>45</v>
      </c>
      <c r="G24" s="2" t="s">
        <v>46</v>
      </c>
      <c r="O24" s="2" t="s">
        <v>35</v>
      </c>
      <c r="P24" s="2">
        <v>2015.0</v>
      </c>
      <c r="Q24" s="2" t="s">
        <v>31</v>
      </c>
      <c r="S24" s="2" t="s">
        <v>32</v>
      </c>
      <c r="T24" s="2" t="s">
        <v>33</v>
      </c>
      <c r="U24" s="2">
        <v>10.0</v>
      </c>
      <c r="V24" s="2" t="s">
        <v>34</v>
      </c>
      <c r="W24" s="8"/>
      <c r="Y24" s="8"/>
      <c r="AB24" s="2">
        <v>0.1917</v>
      </c>
    </row>
    <row r="25" ht="15.75" customHeight="1">
      <c r="A25" s="2" t="s">
        <v>119</v>
      </c>
      <c r="B25" s="2">
        <v>218.0</v>
      </c>
      <c r="C25" s="2">
        <v>114.0</v>
      </c>
      <c r="D25" s="2">
        <v>104.0</v>
      </c>
      <c r="E25" s="2">
        <v>14.16</v>
      </c>
      <c r="F25" s="2" t="s">
        <v>57</v>
      </c>
      <c r="G25" s="2" t="s">
        <v>120</v>
      </c>
      <c r="O25" s="2" t="s">
        <v>35</v>
      </c>
      <c r="P25" s="2">
        <v>2012.0</v>
      </c>
      <c r="Q25" s="2" t="s">
        <v>31</v>
      </c>
      <c r="S25" s="2" t="s">
        <v>32</v>
      </c>
      <c r="T25" s="2" t="s">
        <v>33</v>
      </c>
      <c r="U25" s="2">
        <v>28.0</v>
      </c>
      <c r="V25" s="2" t="s">
        <v>34</v>
      </c>
      <c r="W25" s="8"/>
      <c r="Y25" s="8"/>
      <c r="AB25" s="2">
        <v>0.106</v>
      </c>
    </row>
    <row r="26" ht="15.75" customHeight="1">
      <c r="A26" s="2" t="s">
        <v>121</v>
      </c>
      <c r="B26" s="2">
        <v>8746.0</v>
      </c>
      <c r="C26" s="2">
        <v>4339.0</v>
      </c>
      <c r="D26" s="2">
        <v>4407.0</v>
      </c>
      <c r="E26" s="2">
        <v>15.37</v>
      </c>
      <c r="F26" s="2" t="s">
        <v>45</v>
      </c>
      <c r="G26" s="2" t="s">
        <v>46</v>
      </c>
      <c r="O26" s="2" t="s">
        <v>35</v>
      </c>
      <c r="P26" s="2" t="s">
        <v>124</v>
      </c>
      <c r="Q26" s="2" t="s">
        <v>31</v>
      </c>
      <c r="R26" s="2">
        <v>0.982</v>
      </c>
      <c r="S26" s="2" t="s">
        <v>32</v>
      </c>
      <c r="T26" s="2" t="s">
        <v>33</v>
      </c>
      <c r="U26" s="2">
        <v>7.0</v>
      </c>
      <c r="V26" s="2" t="s">
        <v>34</v>
      </c>
      <c r="W26" s="8">
        <f t="shared" ref="W26:W27" si="6">B26*X26</f>
        <v>358.586</v>
      </c>
      <c r="X26" s="2">
        <v>0.040999999999999995</v>
      </c>
      <c r="Y26" s="8">
        <f t="shared" ref="Y26:Y27" si="7">B26*Z26</f>
        <v>524.76</v>
      </c>
      <c r="Z26" s="2">
        <v>0.06</v>
      </c>
      <c r="AB26" s="2">
        <v>0.129</v>
      </c>
      <c r="AD26" s="2">
        <v>0.027999999999999997</v>
      </c>
    </row>
    <row r="27" ht="15.75" customHeight="1">
      <c r="A27" s="2" t="s">
        <v>125</v>
      </c>
      <c r="B27" s="2">
        <v>1019.0</v>
      </c>
      <c r="C27" s="2">
        <v>497.0</v>
      </c>
      <c r="D27" s="2">
        <v>522.0</v>
      </c>
      <c r="E27" s="2">
        <v>14.3</v>
      </c>
      <c r="F27" s="2" t="s">
        <v>45</v>
      </c>
      <c r="G27" s="2" t="s">
        <v>46</v>
      </c>
      <c r="O27" s="2" t="s">
        <v>35</v>
      </c>
      <c r="P27" s="2" t="s">
        <v>128</v>
      </c>
      <c r="Q27" s="2" t="s">
        <v>31</v>
      </c>
      <c r="S27" s="2" t="s">
        <v>32</v>
      </c>
      <c r="T27" s="2" t="s">
        <v>33</v>
      </c>
      <c r="U27" s="2">
        <v>12.0</v>
      </c>
      <c r="V27" s="2" t="s">
        <v>34</v>
      </c>
      <c r="W27" s="8">
        <f t="shared" si="6"/>
        <v>19.361</v>
      </c>
      <c r="X27" s="2">
        <v>0.019</v>
      </c>
      <c r="Y27" s="8">
        <f t="shared" si="7"/>
        <v>241.503</v>
      </c>
      <c r="Z27" s="2">
        <v>0.237</v>
      </c>
      <c r="AB27" s="2">
        <v>0.051</v>
      </c>
      <c r="AD27" s="2">
        <v>0.026000000000000002</v>
      </c>
    </row>
    <row r="28" ht="15.75" customHeight="1">
      <c r="Y28" s="8"/>
    </row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F$1:$F$28"/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2025-02-04T09:03:17Z</dcterms:created>
  <dc:creator>Microsoft Office User</dc:creator>
</cp:coreProperties>
</file>